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2020'!$A$6:$F$300</definedName>
    <definedName name="_xlnm.Print_Area" localSheetId="0">'бюджетные ассигнования на 2020'!$A$1:$F$292</definedName>
  </definedNames>
  <calcPr fullCalcOnLoad="1"/>
</workbook>
</file>

<file path=xl/sharedStrings.xml><?xml version="1.0" encoding="utf-8"?>
<sst xmlns="http://schemas.openxmlformats.org/spreadsheetml/2006/main" count="579" uniqueCount="519">
  <si>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</si>
  <si>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</si>
  <si>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</si>
  <si>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</si>
  <si>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</si>
  <si>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</si>
  <si>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</si>
  <si>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</si>
  <si>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</si>
  <si>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</si>
  <si>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</si>
  <si>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</si>
  <si>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</si>
  <si>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</si>
  <si>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</si>
  <si>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</si>
  <si>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</si>
  <si>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</si>
  <si>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</si>
  <si>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</si>
  <si>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</si>
  <si>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</si>
  <si>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</si>
  <si>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</si>
  <si>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</si>
  <si>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</si>
  <si>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</si>
  <si>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</si>
  <si>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</si>
  <si>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Приложение № 3 к решению Совета 
Пучежского муниципального района 
от  23.11.2020 № 10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</si>
  <si>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</si>
  <si>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</si>
  <si>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</si>
  <si>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</si>
  <si>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Улучшение условий охраны труда в  муниципальных учреждениях культуры  Пучежского муниципального района  (Закупка товаров, работ и услуг для государственных (муниципальных) нужд)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</si>
  <si>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</si>
  <si>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</si>
  <si>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</si>
  <si>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</si>
  <si>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</si>
  <si>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</si>
  <si>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</si>
  <si>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</si>
  <si>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</si>
  <si>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</si>
  <si>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</si>
  <si>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</si>
  <si>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</si>
  <si>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</si>
  <si>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</si>
  <si>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</si>
  <si>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</si>
  <si>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</si>
  <si>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</si>
  <si>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</si>
  <si>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</si>
  <si>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</si>
  <si>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</si>
  <si>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</si>
  <si>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</si>
  <si>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</si>
  <si>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</si>
  <si>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</si>
  <si>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</si>
  <si>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</si>
  <si>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</si>
  <si>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</si>
  <si>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</si>
  <si>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</si>
  <si>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</si>
  <si>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</si>
  <si>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</si>
  <si>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</si>
  <si>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</si>
  <si>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</si>
  <si>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</si>
  <si>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</si>
  <si>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</si>
  <si>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</si>
  <si>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</si>
  <si>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</si>
  <si>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</si>
  <si>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</si>
  <si>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</si>
  <si>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</si>
  <si>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</si>
  <si>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Обеспечение функционирования муниципальных образовательных организаций в сфере общего образования (Социальное обеспечение и иные выплаты населению)</t>
  </si>
  <si>
    <t>Выполнение мероприятий по содержанию муниципального имущества (Иные бюджетные ассигнования)</t>
  </si>
  <si>
    <t>06 0 02 S0510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</si>
  <si>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</si>
  <si>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09 4 00 00000</t>
  </si>
  <si>
    <t>09 4 01 00000</t>
  </si>
  <si>
    <t>09 4 01 L5762</t>
  </si>
  <si>
    <t>19 0 02 01390</t>
  </si>
  <si>
    <t>19 0 02 01400</t>
  </si>
  <si>
    <t>Меры по укреплению материально-технической базы с целью повышения качества проводимых мероприятий по охране общественного порядка на территории Пучежского муниципального района (Закупка товаров, работ и услуг для государственных (муниципальных) нужд)</t>
  </si>
  <si>
    <t>Приобретение баннера в рамках профилактики различных видов мошенничества в отношении граждан Пучежского муниципального района (Закупка товаров, работ и услуг для государственных (муниципальных) нужд)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</si>
  <si>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</si>
  <si>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</si>
  <si>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</si>
  <si>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</si>
  <si>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</si>
  <si>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</si>
  <si>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</si>
  <si>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</si>
  <si>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</si>
  <si>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</si>
  <si>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</si>
  <si>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</si>
  <si>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</si>
  <si>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</si>
  <si>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</si>
  <si>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</si>
  <si>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</si>
  <si>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</si>
  <si>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</si>
  <si>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</si>
  <si>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</si>
  <si>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</si>
  <si>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</si>
  <si>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</si>
  <si>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</si>
  <si>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</si>
  <si>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</si>
  <si>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</si>
  <si>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</si>
  <si>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</si>
  <si>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</si>
  <si>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</si>
  <si>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</si>
  <si>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</si>
  <si>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</si>
  <si>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</si>
  <si>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</si>
  <si>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</si>
  <si>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</si>
  <si>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</si>
  <si>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</si>
  <si>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</si>
  <si>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</si>
  <si>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</si>
  <si>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</si>
  <si>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01 0 08 S0080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</si>
  <si>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</si>
  <si>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02 0 06 L5192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</si>
  <si>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</si>
  <si>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</si>
  <si>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</si>
  <si>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</si>
  <si>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</si>
  <si>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</si>
  <si>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Изменение</t>
  </si>
  <si>
    <t>Основное мероприятие "Улучшение условий и охрана труда в муниципальных учреждениях культуры"</t>
  </si>
  <si>
    <t>15 0 02 01050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</si>
  <si>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</si>
  <si>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</si>
  <si>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</si>
  <si>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</si>
  <si>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</si>
  <si>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</si>
  <si>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</si>
  <si>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</si>
  <si>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</si>
  <si>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</si>
  <si>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</si>
  <si>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</si>
  <si>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</si>
  <si>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</si>
  <si>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</si>
  <si>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</si>
  <si>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08 0 01 00500</t>
  </si>
  <si>
    <t>08 0 01 S1440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</si>
  <si>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</si>
  <si>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</si>
  <si>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</si>
  <si>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</si>
  <si>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</si>
  <si>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</si>
  <si>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</si>
  <si>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</si>
  <si>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</si>
  <si>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</si>
  <si>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</si>
  <si>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</si>
  <si>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</si>
  <si>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</si>
  <si>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</si>
  <si>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</si>
  <si>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</si>
  <si>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</si>
  <si>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</si>
  <si>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</si>
  <si>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</si>
  <si>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</si>
  <si>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</si>
  <si>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</si>
  <si>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</si>
  <si>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</si>
  <si>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</si>
  <si>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</si>
  <si>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</si>
  <si>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</si>
  <si>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03 0 07 00000</t>
  </si>
  <si>
    <t>03 0 07 01350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</si>
  <si>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</si>
  <si>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</si>
  <si>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02 0 А1 00000</t>
  </si>
  <si>
    <t>Региональный проект "Культурная среда"</t>
  </si>
  <si>
    <t>01 0 Е1 00000</t>
  </si>
  <si>
    <t>Региональный проект "Современная школа"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</si>
  <si>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</si>
  <si>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</si>
  <si>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</si>
  <si>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Реализация мероприятий по поэтапному доведению средней заработной платы работников культуры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</si>
  <si>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</si>
  <si>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</si>
  <si>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</si>
  <si>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</si>
  <si>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</si>
  <si>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</si>
  <si>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</si>
  <si>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</si>
  <si>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</si>
  <si>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</si>
  <si>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</si>
  <si>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</si>
  <si>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</si>
  <si>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</si>
  <si>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</si>
  <si>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</si>
  <si>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</si>
  <si>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</si>
  <si>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</si>
  <si>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</si>
  <si>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</si>
  <si>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</si>
  <si>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</si>
  <si>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20 9 00 01370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</si>
  <si>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</si>
  <si>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01 0 02 01380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</si>
  <si>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</si>
  <si>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02 0 А1 55197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</si>
  <si>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</si>
  <si>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09 1 00 00000</t>
  </si>
  <si>
    <t>09 1 01 00000</t>
  </si>
  <si>
    <t>09 1 01 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</si>
  <si>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</si>
  <si>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06 0 01 S0510</t>
  </si>
  <si>
    <t>02 0 07 00000</t>
  </si>
  <si>
    <t>02 0 07 L5191</t>
  </si>
  <si>
    <t>02 0 07 9182Н</t>
  </si>
  <si>
    <t>Основное мероприятие "Обеспечение деятельности муниципальных учреждений"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</si>
  <si>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</si>
  <si>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</si>
  <si>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</si>
  <si>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</si>
  <si>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</si>
  <si>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</si>
  <si>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</si>
  <si>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</si>
  <si>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</si>
  <si>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</si>
  <si>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</si>
  <si>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</si>
  <si>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</si>
  <si>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</si>
  <si>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</si>
  <si>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</si>
  <si>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</si>
  <si>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01 0 07 00200</t>
  </si>
  <si>
    <t>01 0 07 00220</t>
  </si>
  <si>
    <t>01 0 08 80100</t>
  </si>
  <si>
    <t>01 0 07 00160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</si>
  <si>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</si>
  <si>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</si>
  <si>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</si>
  <si>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</si>
  <si>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</si>
  <si>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</si>
  <si>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</si>
  <si>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</si>
  <si>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</si>
  <si>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</si>
  <si>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</si>
  <si>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</si>
  <si>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</si>
  <si>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</si>
  <si>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</si>
  <si>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</si>
  <si>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</si>
  <si>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</si>
  <si>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</si>
  <si>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</si>
  <si>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</si>
  <si>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</si>
  <si>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</si>
  <si>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</si>
  <si>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</si>
  <si>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 xml:space="preserve">Подпрограмма «Комплексное развитие сельских территорий в Пучежском муниципальном районе" </t>
  </si>
  <si>
    <t>Основное мероприятие «Комплексное развитие сельских территорий в Пучежском муниципальном районе Ивановской области»</t>
  </si>
  <si>
    <t>01 0 08 L3041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</si>
  <si>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государственных (муниципальных) нужд)</t>
  </si>
  <si>
    <t>04 1 01 S2990</t>
  </si>
  <si>
    <t>Софинансирование по разработке (корректировке) проектной документации и газификации населенных пунктов, объектов социальной инфраструктуры, входящих в состав Пучежского муниципального района (Бюджетные инвестиции на приобретение объектов недвижимого имущества в муниципальную собственность)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</si>
  <si>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</si>
  <si>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</si>
  <si>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</si>
  <si>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</si>
  <si>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</si>
  <si>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</si>
  <si>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</si>
  <si>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</si>
  <si>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</si>
  <si>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</si>
  <si>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</si>
  <si>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</si>
  <si>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</si>
  <si>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</si>
  <si>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</si>
  <si>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</si>
  <si>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</si>
  <si>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</si>
  <si>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</si>
  <si>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</si>
  <si>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</si>
  <si>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</si>
  <si>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2020 год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</si>
  <si>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</si>
  <si>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</si>
  <si>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</si>
  <si>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</si>
  <si>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</si>
  <si>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</si>
  <si>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</si>
  <si>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</si>
  <si>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</si>
  <si>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</si>
  <si>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</si>
  <si>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</si>
  <si>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</si>
  <si>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</si>
  <si>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</si>
  <si>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</si>
  <si>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</si>
  <si>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</si>
  <si>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</si>
  <si>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</si>
  <si>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</si>
  <si>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</si>
  <si>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</si>
  <si>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</si>
  <si>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</si>
  <si>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03 0 01 00290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</si>
  <si>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</si>
  <si>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</si>
  <si>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</si>
  <si>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</si>
  <si>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</si>
  <si>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</si>
  <si>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</si>
  <si>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</si>
  <si>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</si>
  <si>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</si>
  <si>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</si>
  <si>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</si>
  <si>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</si>
  <si>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</si>
  <si>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</si>
  <si>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</si>
  <si>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</si>
  <si>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</si>
  <si>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</si>
  <si>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</si>
  <si>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</si>
  <si>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</si>
  <si>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</si>
  <si>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</si>
  <si>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</si>
  <si>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</si>
  <si>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</si>
  <si>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</si>
  <si>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</si>
  <si>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</si>
  <si>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</si>
  <si>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</si>
  <si>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</si>
  <si>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</si>
  <si>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</si>
  <si>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</si>
  <si>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</si>
  <si>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</si>
  <si>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</si>
  <si>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</si>
  <si>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</si>
  <si>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</si>
  <si>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</si>
  <si>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</si>
  <si>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</si>
  <si>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</si>
  <si>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</si>
  <si>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</si>
  <si>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</si>
  <si>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</si>
  <si>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</si>
  <si>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</si>
  <si>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</si>
  <si>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</si>
  <si>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</si>
  <si>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</si>
  <si>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</si>
  <si>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</si>
  <si>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</si>
  <si>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</si>
  <si>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</si>
  <si>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</si>
  <si>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</si>
  <si>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</si>
  <si>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</si>
  <si>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</si>
  <si>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</si>
  <si>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</si>
  <si>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</si>
  <si>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</si>
  <si>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</si>
  <si>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</si>
  <si>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</si>
  <si>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</si>
  <si>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</si>
  <si>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</si>
  <si>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</si>
  <si>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</si>
  <si>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</si>
  <si>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</si>
  <si>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</si>
  <si>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</si>
  <si>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</si>
  <si>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</si>
  <si>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</si>
  <si>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</si>
  <si>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</si>
  <si>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</si>
  <si>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</si>
  <si>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</si>
  <si>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</si>
  <si>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</si>
  <si>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</si>
  <si>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</si>
  <si>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</si>
  <si>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</si>
  <si>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</si>
  <si>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</si>
  <si>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</si>
  <si>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07 1 01 80240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</si>
  <si>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</si>
  <si>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</si>
  <si>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02 0 06 L3060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</si>
  <si>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</si>
  <si>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Организация мероприятий, носящих общегородской и межмуниципальный характер (Иные бюджетные ассигнования)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</si>
  <si>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</si>
  <si>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</si>
  <si>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</si>
  <si>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Основное мероприятие «Улучшение условий и охраны труда в прочих муниципальных учреждениях»</t>
  </si>
  <si>
    <t>15 0 04 00000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</si>
  <si>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</si>
  <si>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</si>
  <si>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</si>
  <si>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</si>
  <si>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</si>
  <si>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17 1 00 00000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</si>
  <si>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</si>
  <si>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</si>
  <si>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</si>
  <si>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17 1 01 01340</t>
  </si>
  <si>
    <t>01 0 02 53031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</si>
  <si>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(Социальное обеспечение и иные выплаты населению))</t>
  </si>
  <si>
    <t>Сумма с учетом изменений, руб.</t>
  </si>
  <si>
    <t>01 0 Е1 51690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</si>
  <si>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</si>
  <si>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</si>
  <si>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</si>
  <si>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</si>
  <si>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</si>
  <si>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</si>
  <si>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Подпрограмма «Устойчивое развитие сельских территорий на 2014 - 2017 годы и на период до 2020 года в Пучежском муниципальном районе Ивановской области" </t>
  </si>
  <si>
    <t>Основное мероприятие «Устойчивое развитие сельских территорий в Пучежском муниципальном районе Ивановской области»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</si>
  <si>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</si>
  <si>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 xml:space="preserve">Основное мероприятие «Создание модельных муниципальных библиотек» 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</si>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</sst>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16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24" borderId="12" xfId="61" applyNumberFormat="1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24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justify" vertical="center" wrapText="1"/>
    </xf>
    <xf numFmtId="0" fontId="5" fillId="22" borderId="12" xfId="0" applyFont="1" applyFill="1" applyBorder="1" applyAlignment="1">
      <alignment horizontal="center" vertical="center" wrapText="1"/>
    </xf>
    <xf numFmtId="4" fontId="5" fillId="22" borderId="12" xfId="0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4" fontId="2" fillId="22" borderId="12" xfId="61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center" wrapText="1"/>
    </xf>
    <xf numFmtId="4" fontId="2" fillId="22" borderId="12" xfId="61" applyNumberFormat="1" applyFont="1" applyFill="1" applyBorder="1" applyAlignment="1">
      <alignment horizontal="center" vertical="center"/>
    </xf>
    <xf numFmtId="4" fontId="2" fillId="22" borderId="12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justify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wrapText="1"/>
    </xf>
    <xf numFmtId="0" fontId="15" fillId="22" borderId="12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5" fillId="22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vertical="center" wrapText="1"/>
    </xf>
    <xf numFmtId="4" fontId="1" fillId="22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22" borderId="12" xfId="6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4" fillId="0" borderId="20" xfId="33" applyNumberFormat="1" applyFont="1" applyBorder="1" applyAlignment="1" applyProtection="1">
      <alignment horizontal="justify" vertical="top" wrapText="1"/>
      <protection locked="0"/>
    </xf>
    <xf numFmtId="4" fontId="2" fillId="22" borderId="12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24" borderId="21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4" fontId="1" fillId="22" borderId="21" xfId="0" applyNumberFormat="1" applyFont="1" applyFill="1" applyBorder="1" applyAlignment="1">
      <alignment horizontal="center"/>
    </xf>
    <xf numFmtId="4" fontId="1" fillId="22" borderId="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0"/>
  <sheetViews>
    <sheetView tabSelected="1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6" width="16.375" style="30" customWidth="1"/>
  </cols>
  <sheetData>
    <row r="1" spans="1:6" ht="45" customHeight="1">
      <c r="A1" s="43"/>
      <c r="B1" s="91" t="s">
        <v>29</v>
      </c>
      <c r="C1" s="91"/>
      <c r="D1" s="91"/>
      <c r="E1" s="91"/>
      <c r="F1" s="91"/>
    </row>
    <row r="3" spans="1:6" ht="12.75" customHeight="1">
      <c r="A3" s="90" t="s">
        <v>326</v>
      </c>
      <c r="B3" s="90"/>
      <c r="C3" s="90"/>
      <c r="D3" s="90"/>
      <c r="E3" s="90"/>
      <c r="F3" s="90"/>
    </row>
    <row r="4" spans="1:6" ht="63.75" customHeight="1">
      <c r="A4" s="90"/>
      <c r="B4" s="90"/>
      <c r="C4" s="90"/>
      <c r="D4" s="90"/>
      <c r="E4" s="90"/>
      <c r="F4" s="90"/>
    </row>
    <row r="5" spans="1:3" ht="15.75" customHeight="1">
      <c r="A5" s="44"/>
      <c r="B5" s="1"/>
      <c r="C5" s="1"/>
    </row>
    <row r="6" spans="1:6" s="12" customFormat="1" ht="51" customHeight="1">
      <c r="A6" s="10" t="s">
        <v>42</v>
      </c>
      <c r="B6" s="11" t="s">
        <v>435</v>
      </c>
      <c r="C6" s="11" t="s">
        <v>260</v>
      </c>
      <c r="D6" s="31" t="s">
        <v>436</v>
      </c>
      <c r="E6" s="80" t="s">
        <v>151</v>
      </c>
      <c r="F6" s="81" t="s">
        <v>475</v>
      </c>
    </row>
    <row r="7" spans="1:6" ht="39" customHeight="1">
      <c r="A7" s="45" t="s">
        <v>344</v>
      </c>
      <c r="B7" s="3" t="s">
        <v>196</v>
      </c>
      <c r="C7" s="9"/>
      <c r="D7" s="16">
        <f>D8+D18+D28+D36+D42+D46+D50+D58+D65+D69</f>
        <v>126934697.98</v>
      </c>
      <c r="E7" s="16">
        <f>E8+E18+E28+E36+E42+E46+E50+E58+E65+E69</f>
        <v>-4979970.52</v>
      </c>
      <c r="F7" s="16">
        <f>F8+F18+F28+F36+F42+F46+F50+F58+F65+F69</f>
        <v>121954727.46</v>
      </c>
    </row>
    <row r="8" spans="1:6" ht="31.5" customHeight="1">
      <c r="A8" s="46" t="s">
        <v>194</v>
      </c>
      <c r="B8" s="32" t="s">
        <v>494</v>
      </c>
      <c r="C8" s="33"/>
      <c r="D8" s="34">
        <f>SUM(D9:D17)</f>
        <v>45809214.07</v>
      </c>
      <c r="E8" s="34">
        <f>SUM(E9:E17)</f>
        <v>-2663750.02</v>
      </c>
      <c r="F8" s="34">
        <f>SUM(F9:F17)</f>
        <v>43145464.050000004</v>
      </c>
    </row>
    <row r="9" spans="1:6" ht="63.75" customHeight="1">
      <c r="A9" s="47" t="s">
        <v>492</v>
      </c>
      <c r="B9" s="4" t="s">
        <v>493</v>
      </c>
      <c r="C9" s="4">
        <v>100</v>
      </c>
      <c r="D9" s="13">
        <v>7731500</v>
      </c>
      <c r="E9" s="13">
        <f>-4000-1600</f>
        <v>-5600</v>
      </c>
      <c r="F9" s="13">
        <f>D9+E9</f>
        <v>7725900</v>
      </c>
    </row>
    <row r="10" spans="1:6" ht="45.75" customHeight="1">
      <c r="A10" s="47" t="s">
        <v>433</v>
      </c>
      <c r="B10" s="4" t="s">
        <v>493</v>
      </c>
      <c r="C10" s="4">
        <v>200</v>
      </c>
      <c r="D10" s="13">
        <v>8799881.69</v>
      </c>
      <c r="E10" s="13">
        <f>-257581.62-87924.36-140296.25-37119.54-16300.1-23265.04+7250</f>
        <v>-555236.91</v>
      </c>
      <c r="F10" s="13">
        <f aca="true" t="shared" si="0" ref="F10:F17">D10+E10</f>
        <v>8244644.779999999</v>
      </c>
    </row>
    <row r="11" spans="1:6" ht="31.5" customHeight="1">
      <c r="A11" s="47" t="s">
        <v>434</v>
      </c>
      <c r="B11" s="4" t="s">
        <v>493</v>
      </c>
      <c r="C11" s="4">
        <v>800</v>
      </c>
      <c r="D11" s="13">
        <v>195364</v>
      </c>
      <c r="E11" s="13">
        <f>-1000-1524-1006-16315-1423.97-928.07</f>
        <v>-22197.04</v>
      </c>
      <c r="F11" s="13">
        <f t="shared" si="0"/>
        <v>173166.96</v>
      </c>
    </row>
    <row r="12" spans="1:6" ht="48.75" customHeight="1">
      <c r="A12" s="47" t="s">
        <v>357</v>
      </c>
      <c r="B12" s="4" t="s">
        <v>3</v>
      </c>
      <c r="C12" s="4">
        <v>200</v>
      </c>
      <c r="D12" s="13">
        <v>371507</v>
      </c>
      <c r="E12" s="13">
        <f>-1656-2140-2008-2104-1696-1044</f>
        <v>-10648</v>
      </c>
      <c r="F12" s="13">
        <f t="shared" si="0"/>
        <v>360859</v>
      </c>
    </row>
    <row r="13" spans="1:6" ht="174.75" customHeight="1">
      <c r="A13" s="47" t="s">
        <v>146</v>
      </c>
      <c r="B13" s="4" t="s">
        <v>147</v>
      </c>
      <c r="C13" s="4">
        <v>100</v>
      </c>
      <c r="D13" s="13">
        <v>21632191.6</v>
      </c>
      <c r="E13" s="13"/>
      <c r="F13" s="13">
        <f t="shared" si="0"/>
        <v>21632191.6</v>
      </c>
    </row>
    <row r="14" spans="1:6" ht="144" customHeight="1">
      <c r="A14" s="47" t="s">
        <v>325</v>
      </c>
      <c r="B14" s="4" t="s">
        <v>147</v>
      </c>
      <c r="C14" s="4">
        <v>200</v>
      </c>
      <c r="D14" s="13">
        <v>178974</v>
      </c>
      <c r="E14" s="13"/>
      <c r="F14" s="13">
        <f t="shared" si="0"/>
        <v>178974</v>
      </c>
    </row>
    <row r="15" spans="1:6" ht="144" customHeight="1">
      <c r="A15" s="47" t="s">
        <v>474</v>
      </c>
      <c r="B15" s="4" t="s">
        <v>147</v>
      </c>
      <c r="C15" s="4">
        <v>300</v>
      </c>
      <c r="D15" s="13">
        <v>24908.4</v>
      </c>
      <c r="E15" s="13"/>
      <c r="F15" s="13">
        <f t="shared" si="0"/>
        <v>24908.4</v>
      </c>
    </row>
    <row r="16" spans="1:6" ht="48" customHeight="1">
      <c r="A16" s="52" t="s">
        <v>9</v>
      </c>
      <c r="B16" s="4" t="s">
        <v>10</v>
      </c>
      <c r="C16" s="4">
        <v>200</v>
      </c>
      <c r="D16" s="13">
        <v>202020.2</v>
      </c>
      <c r="E16" s="13"/>
      <c r="F16" s="13">
        <f t="shared" si="0"/>
        <v>202020.2</v>
      </c>
    </row>
    <row r="17" spans="1:6" ht="48" customHeight="1">
      <c r="A17" s="47" t="s">
        <v>48</v>
      </c>
      <c r="B17" s="4" t="s">
        <v>49</v>
      </c>
      <c r="C17" s="4">
        <v>200</v>
      </c>
      <c r="D17" s="13">
        <v>6672867.18</v>
      </c>
      <c r="E17" s="13">
        <f>-50000-53020-58717.68-181450.61-10929.78-1708700-7250</f>
        <v>-2070068.07</v>
      </c>
      <c r="F17" s="13">
        <f t="shared" si="0"/>
        <v>4602799.109999999</v>
      </c>
    </row>
    <row r="18" spans="1:6" ht="31.5" customHeight="1">
      <c r="A18" s="46" t="s">
        <v>195</v>
      </c>
      <c r="B18" s="32" t="s">
        <v>197</v>
      </c>
      <c r="C18" s="6"/>
      <c r="D18" s="35">
        <f>SUM(D19:D27)</f>
        <v>64538403.21</v>
      </c>
      <c r="E18" s="35">
        <f>SUM(E19:E27)</f>
        <v>-2049616.78</v>
      </c>
      <c r="F18" s="35">
        <f>SUM(F19:F27)</f>
        <v>62488786.43</v>
      </c>
    </row>
    <row r="19" spans="1:6" ht="65.25" customHeight="1">
      <c r="A19" s="47" t="s">
        <v>50</v>
      </c>
      <c r="B19" s="4" t="s">
        <v>322</v>
      </c>
      <c r="C19" s="4">
        <v>100</v>
      </c>
      <c r="D19" s="13">
        <v>7809318.71</v>
      </c>
      <c r="E19" s="13">
        <f>-142600-110000-33220</f>
        <v>-285820</v>
      </c>
      <c r="F19" s="13">
        <f aca="true" t="shared" si="1" ref="F19:F27">D19+E19</f>
        <v>7523498.71</v>
      </c>
    </row>
    <row r="20" spans="1:6" ht="48" customHeight="1">
      <c r="A20" s="47" t="s">
        <v>261</v>
      </c>
      <c r="B20" s="4" t="s">
        <v>322</v>
      </c>
      <c r="C20" s="4">
        <v>200</v>
      </c>
      <c r="D20" s="13">
        <v>20362812.96</v>
      </c>
      <c r="E20" s="13">
        <f>-377305.23-39549.9-79847.6-110678.66-100000-599565-24415-9200-391500+50000</f>
        <v>-1682061.3900000001</v>
      </c>
      <c r="F20" s="13">
        <f t="shared" si="1"/>
        <v>18680751.57</v>
      </c>
    </row>
    <row r="21" spans="1:6" ht="32.25" customHeight="1">
      <c r="A21" s="47" t="s">
        <v>86</v>
      </c>
      <c r="B21" s="4" t="s">
        <v>322</v>
      </c>
      <c r="C21" s="4">
        <v>300</v>
      </c>
      <c r="D21" s="13">
        <v>751.29</v>
      </c>
      <c r="E21" s="13"/>
      <c r="F21" s="13">
        <f t="shared" si="1"/>
        <v>751.29</v>
      </c>
    </row>
    <row r="22" spans="1:6" ht="32.25" customHeight="1">
      <c r="A22" s="47" t="s">
        <v>262</v>
      </c>
      <c r="B22" s="4" t="s">
        <v>322</v>
      </c>
      <c r="C22" s="4">
        <v>800</v>
      </c>
      <c r="D22" s="13">
        <v>260248</v>
      </c>
      <c r="E22" s="13">
        <f>-24877-28485.42-4490.23-7400-5257</f>
        <v>-70509.65</v>
      </c>
      <c r="F22" s="13">
        <f t="shared" si="1"/>
        <v>189738.35</v>
      </c>
    </row>
    <row r="23" spans="1:6" ht="48.75" customHeight="1">
      <c r="A23" s="47" t="s">
        <v>138</v>
      </c>
      <c r="B23" s="4" t="s">
        <v>137</v>
      </c>
      <c r="C23" s="4">
        <v>200</v>
      </c>
      <c r="D23" s="13">
        <v>306100</v>
      </c>
      <c r="E23" s="13">
        <f>-7042-1708-1206</f>
        <v>-9956</v>
      </c>
      <c r="F23" s="13">
        <f t="shared" si="1"/>
        <v>296144</v>
      </c>
    </row>
    <row r="24" spans="1:6" ht="158.25" customHeight="1">
      <c r="A24" s="47" t="s">
        <v>70</v>
      </c>
      <c r="B24" s="4" t="s">
        <v>321</v>
      </c>
      <c r="C24" s="4">
        <v>100</v>
      </c>
      <c r="D24" s="13">
        <v>33104308.25</v>
      </c>
      <c r="E24" s="13"/>
      <c r="F24" s="13">
        <f t="shared" si="1"/>
        <v>33104308.25</v>
      </c>
    </row>
    <row r="25" spans="1:6" ht="126" customHeight="1">
      <c r="A25" s="47" t="s">
        <v>71</v>
      </c>
      <c r="B25" s="4" t="s">
        <v>321</v>
      </c>
      <c r="C25" s="4">
        <v>200</v>
      </c>
      <c r="D25" s="13">
        <v>877062</v>
      </c>
      <c r="E25" s="13"/>
      <c r="F25" s="13">
        <f t="shared" si="1"/>
        <v>877062</v>
      </c>
    </row>
    <row r="26" spans="1:6" ht="46.5" customHeight="1">
      <c r="A26" s="55" t="s">
        <v>479</v>
      </c>
      <c r="B26" s="4" t="s">
        <v>239</v>
      </c>
      <c r="C26" s="4">
        <v>200</v>
      </c>
      <c r="D26" s="13">
        <v>541842</v>
      </c>
      <c r="E26" s="13">
        <v>-1269.74</v>
      </c>
      <c r="F26" s="13">
        <f t="shared" si="1"/>
        <v>540572.26</v>
      </c>
    </row>
    <row r="27" spans="1:6" ht="79.5" customHeight="1">
      <c r="A27" s="53" t="s">
        <v>405</v>
      </c>
      <c r="B27" s="4" t="s">
        <v>473</v>
      </c>
      <c r="C27" s="4">
        <v>100</v>
      </c>
      <c r="D27" s="13">
        <v>1275960</v>
      </c>
      <c r="E27" s="13"/>
      <c r="F27" s="13">
        <f t="shared" si="1"/>
        <v>1275960</v>
      </c>
    </row>
    <row r="28" spans="1:6" ht="31.5" customHeight="1">
      <c r="A28" s="46" t="s">
        <v>82</v>
      </c>
      <c r="B28" s="32" t="s">
        <v>83</v>
      </c>
      <c r="C28" s="32"/>
      <c r="D28" s="35">
        <f>SUM(D29:D35)</f>
        <v>5456575.6</v>
      </c>
      <c r="E28" s="35">
        <f>SUM(E29:E35)</f>
        <v>-296607.6</v>
      </c>
      <c r="F28" s="35">
        <f>SUM(F29:F35)</f>
        <v>5159968</v>
      </c>
    </row>
    <row r="29" spans="1:6" ht="79.5" customHeight="1">
      <c r="A29" s="47" t="s">
        <v>410</v>
      </c>
      <c r="B29" s="4" t="s">
        <v>73</v>
      </c>
      <c r="C29" s="4">
        <v>100</v>
      </c>
      <c r="D29" s="13">
        <v>3368836.21</v>
      </c>
      <c r="E29" s="13">
        <f>-187197.07-20500</f>
        <v>-207697.07</v>
      </c>
      <c r="F29" s="13">
        <f aca="true" t="shared" si="2" ref="F29:F35">D29+E29</f>
        <v>3161139.14</v>
      </c>
    </row>
    <row r="30" spans="1:6" ht="48" customHeight="1">
      <c r="A30" s="47" t="s">
        <v>229</v>
      </c>
      <c r="B30" s="4" t="s">
        <v>73</v>
      </c>
      <c r="C30" s="4">
        <v>200</v>
      </c>
      <c r="D30" s="13">
        <v>758875.25</v>
      </c>
      <c r="E30" s="13">
        <v>-88910.53</v>
      </c>
      <c r="F30" s="13">
        <f t="shared" si="2"/>
        <v>669964.72</v>
      </c>
    </row>
    <row r="31" spans="1:6" ht="33.75" customHeight="1">
      <c r="A31" s="47" t="s">
        <v>114</v>
      </c>
      <c r="B31" s="4" t="s">
        <v>73</v>
      </c>
      <c r="C31" s="4">
        <v>800</v>
      </c>
      <c r="D31" s="13">
        <v>9474</v>
      </c>
      <c r="E31" s="13"/>
      <c r="F31" s="13">
        <f t="shared" si="2"/>
        <v>9474</v>
      </c>
    </row>
    <row r="32" spans="1:6" ht="47.25" customHeight="1">
      <c r="A32" s="47" t="s">
        <v>102</v>
      </c>
      <c r="B32" s="4" t="s">
        <v>2</v>
      </c>
      <c r="C32" s="4">
        <v>200</v>
      </c>
      <c r="D32" s="13">
        <v>30357</v>
      </c>
      <c r="E32" s="13"/>
      <c r="F32" s="13">
        <f t="shared" si="2"/>
        <v>30357</v>
      </c>
    </row>
    <row r="33" spans="1:6" ht="47.25" customHeight="1">
      <c r="A33" s="52" t="s">
        <v>9</v>
      </c>
      <c r="B33" s="4" t="s">
        <v>11</v>
      </c>
      <c r="C33" s="4">
        <v>200</v>
      </c>
      <c r="D33" s="13">
        <v>505050.51</v>
      </c>
      <c r="E33" s="13"/>
      <c r="F33" s="13">
        <f t="shared" si="2"/>
        <v>505050.51</v>
      </c>
    </row>
    <row r="34" spans="1:6" ht="81.75" customHeight="1">
      <c r="A34" s="47" t="s">
        <v>14</v>
      </c>
      <c r="B34" s="4" t="s">
        <v>348</v>
      </c>
      <c r="C34" s="4">
        <v>100</v>
      </c>
      <c r="D34" s="13">
        <v>774574.84</v>
      </c>
      <c r="E34" s="13"/>
      <c r="F34" s="13">
        <f t="shared" si="2"/>
        <v>774574.84</v>
      </c>
    </row>
    <row r="35" spans="1:6" ht="78.75" customHeight="1">
      <c r="A35" s="47" t="s">
        <v>15</v>
      </c>
      <c r="B35" s="4" t="s">
        <v>74</v>
      </c>
      <c r="C35" s="4">
        <v>100</v>
      </c>
      <c r="D35" s="13">
        <v>9407.79</v>
      </c>
      <c r="E35" s="13"/>
      <c r="F35" s="13">
        <f t="shared" si="2"/>
        <v>9407.79</v>
      </c>
    </row>
    <row r="36" spans="1:6" ht="44.25" customHeight="1">
      <c r="A36" s="46" t="s">
        <v>511</v>
      </c>
      <c r="B36" s="32" t="s">
        <v>189</v>
      </c>
      <c r="C36" s="32"/>
      <c r="D36" s="35">
        <f>SUM(D37:D41)</f>
        <v>466964</v>
      </c>
      <c r="E36" s="35">
        <f>SUM(E37:E41)</f>
        <v>-40539.78</v>
      </c>
      <c r="F36" s="35">
        <f>SUM(F37:F41)</f>
        <v>426424.22</v>
      </c>
    </row>
    <row r="37" spans="1:6" ht="46.5" customHeight="1">
      <c r="A37" s="47" t="s">
        <v>500</v>
      </c>
      <c r="B37" s="4" t="s">
        <v>499</v>
      </c>
      <c r="C37" s="4">
        <v>200</v>
      </c>
      <c r="D37" s="13">
        <v>190974</v>
      </c>
      <c r="E37" s="13">
        <f>-11400-2000-9370-5402-16288-4800+1245-33849.78-3150-15100-12000-9597-7500</f>
        <v>-129211.78</v>
      </c>
      <c r="F37" s="13">
        <f>D37+E37</f>
        <v>61762.22</v>
      </c>
    </row>
    <row r="38" spans="1:6" ht="77.25" customHeight="1">
      <c r="A38" s="65" t="s">
        <v>16</v>
      </c>
      <c r="B38" s="4" t="s">
        <v>361</v>
      </c>
      <c r="C38" s="4">
        <v>100</v>
      </c>
      <c r="D38" s="13">
        <f>62500+78116</f>
        <v>140616</v>
      </c>
      <c r="E38" s="13"/>
      <c r="F38" s="13">
        <f>D38+E38</f>
        <v>140616</v>
      </c>
    </row>
    <row r="39" spans="1:6" ht="33" customHeight="1">
      <c r="A39" s="47" t="s">
        <v>51</v>
      </c>
      <c r="B39" s="7" t="s">
        <v>53</v>
      </c>
      <c r="C39" s="4">
        <v>300</v>
      </c>
      <c r="D39" s="13">
        <v>24000</v>
      </c>
      <c r="E39" s="13"/>
      <c r="F39" s="13">
        <f>D39+E39</f>
        <v>24000</v>
      </c>
    </row>
    <row r="40" spans="1:6" ht="47.25" customHeight="1">
      <c r="A40" s="66" t="s">
        <v>52</v>
      </c>
      <c r="B40" s="4" t="s">
        <v>54</v>
      </c>
      <c r="C40" s="4">
        <v>300</v>
      </c>
      <c r="D40" s="13">
        <v>20000</v>
      </c>
      <c r="E40" s="13"/>
      <c r="F40" s="13">
        <f>D40+E40</f>
        <v>20000</v>
      </c>
    </row>
    <row r="41" spans="1:6" ht="49.5" customHeight="1">
      <c r="A41" s="69" t="s">
        <v>103</v>
      </c>
      <c r="B41" s="4" t="s">
        <v>190</v>
      </c>
      <c r="C41" s="4">
        <v>200</v>
      </c>
      <c r="D41" s="13">
        <v>91374</v>
      </c>
      <c r="E41" s="13">
        <f>71236.92+17435.08</f>
        <v>88672</v>
      </c>
      <c r="F41" s="13">
        <f>D41+E41</f>
        <v>180046</v>
      </c>
    </row>
    <row r="42" spans="1:6" ht="18" customHeight="1">
      <c r="A42" s="46" t="s">
        <v>221</v>
      </c>
      <c r="B42" s="32" t="s">
        <v>222</v>
      </c>
      <c r="C42" s="32"/>
      <c r="D42" s="35">
        <f>SUM(D43:D45)</f>
        <v>894077</v>
      </c>
      <c r="E42" s="35">
        <f>SUM(E43:E45)</f>
        <v>-470085</v>
      </c>
      <c r="F42" s="35">
        <f>SUM(F43:F45)</f>
        <v>423992</v>
      </c>
    </row>
    <row r="43" spans="1:6" ht="32.25" customHeight="1">
      <c r="A43" s="47" t="s">
        <v>360</v>
      </c>
      <c r="B43" s="4" t="s">
        <v>362</v>
      </c>
      <c r="C43" s="4">
        <v>200</v>
      </c>
      <c r="D43" s="13">
        <v>215630</v>
      </c>
      <c r="E43" s="13">
        <f>-17000-17748-6800-4150-5300-8600</f>
        <v>-59598</v>
      </c>
      <c r="F43" s="13">
        <f>D43+E43</f>
        <v>156032</v>
      </c>
    </row>
    <row r="44" spans="1:6" ht="31.5" customHeight="1">
      <c r="A44" s="47" t="s">
        <v>339</v>
      </c>
      <c r="B44" s="5" t="s">
        <v>340</v>
      </c>
      <c r="C44" s="4">
        <v>200</v>
      </c>
      <c r="D44" s="13">
        <v>653037</v>
      </c>
      <c r="E44" s="13">
        <f>-194786.04-151471.34-25683.72-2282.28-10843.83-9.79</f>
        <v>-385077</v>
      </c>
      <c r="F44" s="13">
        <f>D44+E44</f>
        <v>267960</v>
      </c>
    </row>
    <row r="45" spans="1:6" ht="47.25" customHeight="1">
      <c r="A45" s="47" t="s">
        <v>363</v>
      </c>
      <c r="B45" s="4" t="s">
        <v>364</v>
      </c>
      <c r="C45" s="4">
        <v>200</v>
      </c>
      <c r="D45" s="13">
        <v>25410</v>
      </c>
      <c r="E45" s="13">
        <v>-25410</v>
      </c>
      <c r="F45" s="13">
        <f>D45+E45</f>
        <v>0</v>
      </c>
    </row>
    <row r="46" spans="1:6" ht="46.5" customHeight="1">
      <c r="A46" s="46" t="s">
        <v>223</v>
      </c>
      <c r="B46" s="32" t="s">
        <v>224</v>
      </c>
      <c r="C46" s="32"/>
      <c r="D46" s="35">
        <f>SUM(D47:D49)</f>
        <v>605500</v>
      </c>
      <c r="E46" s="35">
        <f>SUM(E47:E49)</f>
        <v>-254300</v>
      </c>
      <c r="F46" s="35">
        <f>SUM(F47:F49)</f>
        <v>351200</v>
      </c>
    </row>
    <row r="47" spans="1:6" ht="47.25" customHeight="1">
      <c r="A47" s="47" t="s">
        <v>62</v>
      </c>
      <c r="B47" s="4" t="s">
        <v>63</v>
      </c>
      <c r="C47" s="4">
        <v>200</v>
      </c>
      <c r="D47" s="13">
        <v>254300</v>
      </c>
      <c r="E47" s="13">
        <f>-17435.08-111164.92-74300-22500-22500-6400</f>
        <v>-254300</v>
      </c>
      <c r="F47" s="13">
        <f>D47+E47</f>
        <v>0</v>
      </c>
    </row>
    <row r="48" spans="1:6" ht="31.5" customHeight="1">
      <c r="A48" s="47" t="s">
        <v>447</v>
      </c>
      <c r="B48" s="4" t="s">
        <v>448</v>
      </c>
      <c r="C48" s="4">
        <v>300</v>
      </c>
      <c r="D48" s="14">
        <v>41200</v>
      </c>
      <c r="E48" s="14"/>
      <c r="F48" s="13">
        <f>D48+E48</f>
        <v>41200</v>
      </c>
    </row>
    <row r="49" spans="1:6" ht="78.75" customHeight="1">
      <c r="A49" s="48" t="s">
        <v>104</v>
      </c>
      <c r="B49" s="42" t="s">
        <v>161</v>
      </c>
      <c r="C49" s="4">
        <v>200</v>
      </c>
      <c r="D49" s="13">
        <v>310000</v>
      </c>
      <c r="E49" s="13"/>
      <c r="F49" s="13">
        <f>D49+E49</f>
        <v>310000</v>
      </c>
    </row>
    <row r="50" spans="1:6" ht="31.5" customHeight="1">
      <c r="A50" s="46" t="s">
        <v>225</v>
      </c>
      <c r="B50" s="32" t="s">
        <v>226</v>
      </c>
      <c r="C50" s="32"/>
      <c r="D50" s="35">
        <f>SUM(D51:D57)</f>
        <v>164900</v>
      </c>
      <c r="E50" s="35">
        <f>SUM(E51:E57)</f>
        <v>-13226.5</v>
      </c>
      <c r="F50" s="35">
        <f>SUM(F51:F57)</f>
        <v>151673.5</v>
      </c>
    </row>
    <row r="51" spans="1:6" ht="46.5" customHeight="1">
      <c r="A51" s="47" t="s">
        <v>105</v>
      </c>
      <c r="B51" s="4" t="s">
        <v>272</v>
      </c>
      <c r="C51" s="4">
        <v>200</v>
      </c>
      <c r="D51" s="13">
        <v>8800</v>
      </c>
      <c r="E51" s="13"/>
      <c r="F51" s="13">
        <f aca="true" t="shared" si="3" ref="F51:F57">D51+E51</f>
        <v>8800</v>
      </c>
    </row>
    <row r="52" spans="1:6" ht="48" customHeight="1">
      <c r="A52" s="47" t="s">
        <v>113</v>
      </c>
      <c r="B52" s="4" t="s">
        <v>273</v>
      </c>
      <c r="C52" s="4">
        <v>200</v>
      </c>
      <c r="D52" s="13">
        <v>58740</v>
      </c>
      <c r="E52" s="13">
        <v>-4403.5</v>
      </c>
      <c r="F52" s="13">
        <f t="shared" si="3"/>
        <v>54336.5</v>
      </c>
    </row>
    <row r="53" spans="1:6" ht="63.75" customHeight="1">
      <c r="A53" s="47" t="s">
        <v>411</v>
      </c>
      <c r="B53" s="4" t="s">
        <v>81</v>
      </c>
      <c r="C53" s="4">
        <v>200</v>
      </c>
      <c r="D53" s="13">
        <v>11300</v>
      </c>
      <c r="E53" s="13"/>
      <c r="F53" s="13">
        <f t="shared" si="3"/>
        <v>11300</v>
      </c>
    </row>
    <row r="54" spans="1:6" ht="63.75" customHeight="1">
      <c r="A54" s="47" t="s">
        <v>106</v>
      </c>
      <c r="B54" s="4" t="s">
        <v>274</v>
      </c>
      <c r="C54" s="4">
        <v>200</v>
      </c>
      <c r="D54" s="13">
        <v>4500</v>
      </c>
      <c r="E54" s="13">
        <v>-4500</v>
      </c>
      <c r="F54" s="13">
        <f t="shared" si="3"/>
        <v>0</v>
      </c>
    </row>
    <row r="55" spans="1:6" ht="47.25" customHeight="1">
      <c r="A55" s="47" t="s">
        <v>107</v>
      </c>
      <c r="B55" s="4" t="s">
        <v>269</v>
      </c>
      <c r="C55" s="4">
        <v>200</v>
      </c>
      <c r="D55" s="13">
        <v>7400</v>
      </c>
      <c r="E55" s="13"/>
      <c r="F55" s="13">
        <f t="shared" si="3"/>
        <v>7400</v>
      </c>
    </row>
    <row r="56" spans="1:6" ht="33" customHeight="1">
      <c r="A56" s="47" t="s">
        <v>108</v>
      </c>
      <c r="B56" s="4" t="s">
        <v>43</v>
      </c>
      <c r="C56" s="4">
        <v>200</v>
      </c>
      <c r="D56" s="13">
        <v>13000</v>
      </c>
      <c r="E56" s="13"/>
      <c r="F56" s="13">
        <f t="shared" si="3"/>
        <v>13000</v>
      </c>
    </row>
    <row r="57" spans="1:6" ht="32.25" customHeight="1">
      <c r="A57" s="47" t="s">
        <v>109</v>
      </c>
      <c r="B57" s="4" t="s">
        <v>270</v>
      </c>
      <c r="C57" s="4">
        <v>200</v>
      </c>
      <c r="D57" s="13">
        <v>61160</v>
      </c>
      <c r="E57" s="13">
        <v>-4323</v>
      </c>
      <c r="F57" s="13">
        <f t="shared" si="3"/>
        <v>56837</v>
      </c>
    </row>
    <row r="58" spans="1:6" ht="32.25" customHeight="1">
      <c r="A58" s="46" t="s">
        <v>227</v>
      </c>
      <c r="B58" s="32" t="s">
        <v>228</v>
      </c>
      <c r="C58" s="32"/>
      <c r="D58" s="35">
        <f>SUM(D59:D64)</f>
        <v>4013683.6500000004</v>
      </c>
      <c r="E58" s="35">
        <f>SUM(E59:E64)</f>
        <v>985302.8699999999</v>
      </c>
      <c r="F58" s="35">
        <f>SUM(F59:F64)</f>
        <v>4998986.52</v>
      </c>
    </row>
    <row r="59" spans="1:6" ht="63" customHeight="1">
      <c r="A59" s="55" t="s">
        <v>477</v>
      </c>
      <c r="B59" s="4" t="s">
        <v>142</v>
      </c>
      <c r="C59" s="4">
        <v>200</v>
      </c>
      <c r="D59" s="13">
        <v>773366.54</v>
      </c>
      <c r="E59" s="13">
        <f>-506642.53-1056.44-2769.81-434.57-546.91-309.88</f>
        <v>-511760.14</v>
      </c>
      <c r="F59" s="13">
        <f aca="true" t="shared" si="4" ref="F59:F64">D59+E59</f>
        <v>261606.40000000002</v>
      </c>
    </row>
    <row r="60" spans="1:6" ht="63" customHeight="1">
      <c r="A60" s="55" t="s">
        <v>301</v>
      </c>
      <c r="B60" s="4" t="s">
        <v>300</v>
      </c>
      <c r="C60" s="4">
        <v>200</v>
      </c>
      <c r="D60" s="13">
        <v>0</v>
      </c>
      <c r="E60" s="13">
        <f>1508145.64+1056.44</f>
        <v>1509202.0799999998</v>
      </c>
      <c r="F60" s="13">
        <f t="shared" si="4"/>
        <v>1509202.0799999998</v>
      </c>
    </row>
    <row r="61" spans="1:6" ht="80.25" customHeight="1">
      <c r="A61" s="47" t="s">
        <v>12</v>
      </c>
      <c r="B61" s="4" t="s">
        <v>13</v>
      </c>
      <c r="C61" s="4">
        <v>200</v>
      </c>
      <c r="D61" s="13">
        <v>36345</v>
      </c>
      <c r="E61" s="13"/>
      <c r="F61" s="13">
        <f t="shared" si="4"/>
        <v>36345</v>
      </c>
    </row>
    <row r="62" spans="1:6" ht="95.25" customHeight="1">
      <c r="A62" s="47" t="s">
        <v>0</v>
      </c>
      <c r="B62" s="4" t="s">
        <v>271</v>
      </c>
      <c r="C62" s="4">
        <v>200</v>
      </c>
      <c r="D62" s="13">
        <v>316921</v>
      </c>
      <c r="E62" s="13"/>
      <c r="F62" s="13">
        <f t="shared" si="4"/>
        <v>316921</v>
      </c>
    </row>
    <row r="63" spans="1:6" ht="63" customHeight="1">
      <c r="A63" s="47" t="s">
        <v>75</v>
      </c>
      <c r="B63" s="4" t="s">
        <v>76</v>
      </c>
      <c r="C63" s="4">
        <v>300</v>
      </c>
      <c r="D63" s="13">
        <v>909556.35</v>
      </c>
      <c r="E63" s="13"/>
      <c r="F63" s="13">
        <f t="shared" si="4"/>
        <v>909556.35</v>
      </c>
    </row>
    <row r="64" spans="1:6" ht="62.25" customHeight="1">
      <c r="A64" s="47" t="s">
        <v>186</v>
      </c>
      <c r="B64" s="4" t="s">
        <v>72</v>
      </c>
      <c r="C64" s="4">
        <v>200</v>
      </c>
      <c r="D64" s="13">
        <v>1977494.76</v>
      </c>
      <c r="E64" s="13">
        <v>-12139.07</v>
      </c>
      <c r="F64" s="13">
        <f t="shared" si="4"/>
        <v>1965355.69</v>
      </c>
    </row>
    <row r="65" spans="1:6" ht="33" customHeight="1">
      <c r="A65" s="46" t="s">
        <v>25</v>
      </c>
      <c r="B65" s="32" t="s">
        <v>26</v>
      </c>
      <c r="C65" s="32"/>
      <c r="D65" s="35">
        <f>SUM(D66:D68)</f>
        <v>3868208.92</v>
      </c>
      <c r="E65" s="35">
        <f>SUM(E66:E68)</f>
        <v>-177147.71</v>
      </c>
      <c r="F65" s="35">
        <f>SUM(F66:F68)</f>
        <v>3691061.21</v>
      </c>
    </row>
    <row r="66" spans="1:6" ht="79.5" customHeight="1">
      <c r="A66" s="47" t="s">
        <v>290</v>
      </c>
      <c r="B66" s="4" t="s">
        <v>173</v>
      </c>
      <c r="C66" s="4">
        <v>100</v>
      </c>
      <c r="D66" s="13">
        <v>2964064</v>
      </c>
      <c r="E66" s="13"/>
      <c r="F66" s="13">
        <f>D66+E66</f>
        <v>2964064</v>
      </c>
    </row>
    <row r="67" spans="1:6" ht="48.75" customHeight="1">
      <c r="A67" s="47" t="s">
        <v>291</v>
      </c>
      <c r="B67" s="4" t="s">
        <v>173</v>
      </c>
      <c r="C67" s="4">
        <v>200</v>
      </c>
      <c r="D67" s="13">
        <v>897544.92</v>
      </c>
      <c r="E67" s="13">
        <v>-176547.71</v>
      </c>
      <c r="F67" s="13">
        <f>D67+E67</f>
        <v>720997.2100000001</v>
      </c>
    </row>
    <row r="68" spans="1:6" ht="47.25" customHeight="1">
      <c r="A68" s="47" t="s">
        <v>45</v>
      </c>
      <c r="B68" s="4" t="s">
        <v>173</v>
      </c>
      <c r="C68" s="4">
        <v>800</v>
      </c>
      <c r="D68" s="13">
        <v>6600</v>
      </c>
      <c r="E68" s="13">
        <v>-600</v>
      </c>
      <c r="F68" s="13">
        <f>D68+E68</f>
        <v>6000</v>
      </c>
    </row>
    <row r="69" spans="1:6" ht="25.5" customHeight="1">
      <c r="A69" s="46" t="s">
        <v>209</v>
      </c>
      <c r="B69" s="32" t="s">
        <v>208</v>
      </c>
      <c r="C69" s="32"/>
      <c r="D69" s="35">
        <f>D70</f>
        <v>1117171.53</v>
      </c>
      <c r="E69" s="35">
        <f>E70</f>
        <v>0</v>
      </c>
      <c r="F69" s="35">
        <f>F70</f>
        <v>1117171.53</v>
      </c>
    </row>
    <row r="70" spans="1:6" ht="79.5" customHeight="1">
      <c r="A70" s="53" t="s">
        <v>478</v>
      </c>
      <c r="B70" s="4" t="s">
        <v>476</v>
      </c>
      <c r="C70" s="4">
        <v>200</v>
      </c>
      <c r="D70" s="13">
        <v>1117171.53</v>
      </c>
      <c r="E70" s="13"/>
      <c r="F70" s="13">
        <f>D70+E70</f>
        <v>1117171.53</v>
      </c>
    </row>
    <row r="71" spans="1:6" s="19" customFormat="1" ht="39" customHeight="1">
      <c r="A71" s="17" t="s">
        <v>218</v>
      </c>
      <c r="B71" s="18" t="s">
        <v>139</v>
      </c>
      <c r="C71" s="18"/>
      <c r="D71" s="20">
        <f>D72+D79+D91+D101+D107+D110+D114</f>
        <v>49022210.24</v>
      </c>
      <c r="E71" s="20">
        <f>E72+E79+E91+E101+E107+E110+E114</f>
        <v>-602659.27</v>
      </c>
      <c r="F71" s="20">
        <f>F72+F79+F91+F101+F107+F110+F114</f>
        <v>48419550.97</v>
      </c>
    </row>
    <row r="72" spans="1:6" s="19" customFormat="1" ht="63" customHeight="1">
      <c r="A72" s="49" t="s">
        <v>395</v>
      </c>
      <c r="B72" s="32" t="s">
        <v>396</v>
      </c>
      <c r="C72" s="32"/>
      <c r="D72" s="34">
        <f>SUM(D73:D78)</f>
        <v>7734030.07</v>
      </c>
      <c r="E72" s="34">
        <f>SUM(E73:E78)</f>
        <v>265907.55</v>
      </c>
      <c r="F72" s="34">
        <f>SUM(F73:F78)</f>
        <v>7999937.62</v>
      </c>
    </row>
    <row r="73" spans="1:6" ht="81" customHeight="1">
      <c r="A73" s="50" t="s">
        <v>516</v>
      </c>
      <c r="B73" s="4" t="s">
        <v>140</v>
      </c>
      <c r="C73" s="4">
        <v>100</v>
      </c>
      <c r="D73" s="13">
        <v>3802622</v>
      </c>
      <c r="E73" s="13"/>
      <c r="F73" s="13">
        <f aca="true" t="shared" si="5" ref="F73:F78">D73+E73</f>
        <v>3802622</v>
      </c>
    </row>
    <row r="74" spans="1:6" ht="47.25" customHeight="1">
      <c r="A74" s="50" t="s">
        <v>412</v>
      </c>
      <c r="B74" s="4" t="s">
        <v>140</v>
      </c>
      <c r="C74" s="4">
        <v>200</v>
      </c>
      <c r="D74" s="13">
        <v>1717434.07</v>
      </c>
      <c r="E74" s="14">
        <f>699-66506.45-28000+550000-118500</f>
        <v>337692.55</v>
      </c>
      <c r="F74" s="13">
        <f t="shared" si="5"/>
        <v>2055126.62</v>
      </c>
    </row>
    <row r="75" spans="1:6" ht="48.75" customHeight="1">
      <c r="A75" s="50" t="s">
        <v>304</v>
      </c>
      <c r="B75" s="4" t="s">
        <v>140</v>
      </c>
      <c r="C75" s="4">
        <v>800</v>
      </c>
      <c r="D75" s="13">
        <f>47250+2500</f>
        <v>49750</v>
      </c>
      <c r="E75" s="13">
        <v>-1500</v>
      </c>
      <c r="F75" s="13">
        <f t="shared" si="5"/>
        <v>48250</v>
      </c>
    </row>
    <row r="76" spans="1:6" ht="48.75" customHeight="1">
      <c r="A76" s="47" t="s">
        <v>102</v>
      </c>
      <c r="B76" s="4" t="s">
        <v>1</v>
      </c>
      <c r="C76" s="4">
        <v>200</v>
      </c>
      <c r="D76" s="13">
        <v>160143</v>
      </c>
      <c r="E76" s="13">
        <v>-70285</v>
      </c>
      <c r="F76" s="13">
        <f t="shared" si="5"/>
        <v>89858</v>
      </c>
    </row>
    <row r="77" spans="1:6" ht="79.5" customHeight="1">
      <c r="A77" s="47" t="s">
        <v>17</v>
      </c>
      <c r="B77" s="4" t="s">
        <v>141</v>
      </c>
      <c r="C77" s="4">
        <v>100</v>
      </c>
      <c r="D77" s="13">
        <v>104039</v>
      </c>
      <c r="E77" s="13"/>
      <c r="F77" s="13">
        <f t="shared" si="5"/>
        <v>104039</v>
      </c>
    </row>
    <row r="78" spans="1:6" ht="96" customHeight="1">
      <c r="A78" s="47" t="s">
        <v>413</v>
      </c>
      <c r="B78" s="4" t="s">
        <v>7</v>
      </c>
      <c r="C78" s="4">
        <v>100</v>
      </c>
      <c r="D78" s="13">
        <v>1900042</v>
      </c>
      <c r="E78" s="13"/>
      <c r="F78" s="13">
        <f t="shared" si="5"/>
        <v>1900042</v>
      </c>
    </row>
    <row r="79" spans="1:6" ht="30" customHeight="1">
      <c r="A79" s="46" t="s">
        <v>397</v>
      </c>
      <c r="B79" s="32" t="s">
        <v>398</v>
      </c>
      <c r="C79" s="32"/>
      <c r="D79" s="35">
        <f>SUM(D80:D90)</f>
        <v>19177530.25</v>
      </c>
      <c r="E79" s="35">
        <f>SUM(E80:E90)</f>
        <v>62200</v>
      </c>
      <c r="F79" s="35">
        <f>SUM(F80:F90)</f>
        <v>19239730.25</v>
      </c>
    </row>
    <row r="80" spans="1:6" ht="80.25" customHeight="1">
      <c r="A80" s="50" t="s">
        <v>382</v>
      </c>
      <c r="B80" s="4" t="s">
        <v>393</v>
      </c>
      <c r="C80" s="4">
        <v>600</v>
      </c>
      <c r="D80" s="13">
        <v>9239409.73</v>
      </c>
      <c r="E80" s="13"/>
      <c r="F80" s="13">
        <f aca="true" t="shared" si="6" ref="F80:F90">D80+E80</f>
        <v>9239409.73</v>
      </c>
    </row>
    <row r="81" spans="1:6" ht="93.75" customHeight="1">
      <c r="A81" s="62" t="s">
        <v>80</v>
      </c>
      <c r="B81" s="4" t="s">
        <v>199</v>
      </c>
      <c r="C81" s="4">
        <v>600</v>
      </c>
      <c r="D81" s="13">
        <v>73173.02</v>
      </c>
      <c r="E81" s="13"/>
      <c r="F81" s="13">
        <f t="shared" si="6"/>
        <v>73173.02</v>
      </c>
    </row>
    <row r="82" spans="1:6" ht="79.5" customHeight="1">
      <c r="A82" s="50" t="s">
        <v>384</v>
      </c>
      <c r="B82" s="4" t="s">
        <v>383</v>
      </c>
      <c r="C82" s="4">
        <v>600</v>
      </c>
      <c r="D82" s="13">
        <v>940700</v>
      </c>
      <c r="E82" s="13"/>
      <c r="F82" s="13">
        <f t="shared" si="6"/>
        <v>940700</v>
      </c>
    </row>
    <row r="83" spans="1:6" ht="111.75" customHeight="1">
      <c r="A83" s="50" t="s">
        <v>98</v>
      </c>
      <c r="B83" s="4" t="s">
        <v>128</v>
      </c>
      <c r="C83" s="4">
        <v>600</v>
      </c>
      <c r="D83" s="13">
        <v>12900</v>
      </c>
      <c r="E83" s="13"/>
      <c r="F83" s="13">
        <f t="shared" si="6"/>
        <v>12900</v>
      </c>
    </row>
    <row r="84" spans="1:6" ht="93.75" customHeight="1">
      <c r="A84" s="50" t="s">
        <v>182</v>
      </c>
      <c r="B84" s="4" t="s">
        <v>385</v>
      </c>
      <c r="C84" s="4">
        <v>600</v>
      </c>
      <c r="D84" s="13">
        <v>2176326.38</v>
      </c>
      <c r="E84" s="14">
        <v>100000</v>
      </c>
      <c r="F84" s="13">
        <f t="shared" si="6"/>
        <v>2276326.38</v>
      </c>
    </row>
    <row r="85" spans="1:6" ht="111" customHeight="1">
      <c r="A85" s="50" t="s">
        <v>254</v>
      </c>
      <c r="B85" s="4" t="s">
        <v>129</v>
      </c>
      <c r="C85" s="4">
        <v>600</v>
      </c>
      <c r="D85" s="13">
        <v>23673.62</v>
      </c>
      <c r="E85" s="13"/>
      <c r="F85" s="13">
        <f t="shared" si="6"/>
        <v>23673.62</v>
      </c>
    </row>
    <row r="86" spans="1:6" ht="93.75" customHeight="1">
      <c r="A86" s="50" t="s">
        <v>353</v>
      </c>
      <c r="B86" s="4" t="s">
        <v>183</v>
      </c>
      <c r="C86" s="4">
        <v>600</v>
      </c>
      <c r="D86" s="13">
        <v>1279739.26</v>
      </c>
      <c r="E86" s="13">
        <v>-37800</v>
      </c>
      <c r="F86" s="13">
        <f t="shared" si="6"/>
        <v>1241939.26</v>
      </c>
    </row>
    <row r="87" spans="1:6" ht="109.5" customHeight="1">
      <c r="A87" s="50" t="s">
        <v>148</v>
      </c>
      <c r="B87" s="4" t="s">
        <v>130</v>
      </c>
      <c r="C87" s="4">
        <v>600</v>
      </c>
      <c r="D87" s="13">
        <v>10760.74</v>
      </c>
      <c r="E87" s="13"/>
      <c r="F87" s="13">
        <f t="shared" si="6"/>
        <v>10760.74</v>
      </c>
    </row>
    <row r="88" spans="1:6" ht="82.5" customHeight="1">
      <c r="A88" s="50" t="s">
        <v>187</v>
      </c>
      <c r="B88" s="4" t="s">
        <v>184</v>
      </c>
      <c r="C88" s="4">
        <v>600</v>
      </c>
      <c r="D88" s="13">
        <v>2673046.5</v>
      </c>
      <c r="E88" s="13"/>
      <c r="F88" s="13">
        <f t="shared" si="6"/>
        <v>2673046.5</v>
      </c>
    </row>
    <row r="89" spans="1:6" ht="95.25" customHeight="1">
      <c r="A89" s="50" t="s">
        <v>36</v>
      </c>
      <c r="B89" s="4" t="s">
        <v>24</v>
      </c>
      <c r="C89" s="4">
        <v>600</v>
      </c>
      <c r="D89" s="13">
        <v>30130.5</v>
      </c>
      <c r="E89" s="13"/>
      <c r="F89" s="13">
        <f t="shared" si="6"/>
        <v>30130.5</v>
      </c>
    </row>
    <row r="90" spans="1:6" ht="78" customHeight="1">
      <c r="A90" s="50" t="s">
        <v>426</v>
      </c>
      <c r="B90" s="4" t="s">
        <v>427</v>
      </c>
      <c r="C90" s="4">
        <v>600</v>
      </c>
      <c r="D90" s="13">
        <v>2717670.5</v>
      </c>
      <c r="E90" s="13"/>
      <c r="F90" s="13">
        <f t="shared" si="6"/>
        <v>2717670.5</v>
      </c>
    </row>
    <row r="91" spans="1:6" ht="32.25" customHeight="1">
      <c r="A91" s="51" t="s">
        <v>399</v>
      </c>
      <c r="B91" s="32" t="s">
        <v>400</v>
      </c>
      <c r="C91" s="32"/>
      <c r="D91" s="35">
        <f>SUM(D92:D100)</f>
        <v>8668579.63</v>
      </c>
      <c r="E91" s="35">
        <f>SUM(E92:E100)</f>
        <v>0</v>
      </c>
      <c r="F91" s="35">
        <f>SUM(F92:F100)</f>
        <v>8668579.63</v>
      </c>
    </row>
    <row r="92" spans="1:6" ht="111.75" customHeight="1">
      <c r="A92" s="50" t="s">
        <v>18</v>
      </c>
      <c r="B92" s="4" t="s">
        <v>392</v>
      </c>
      <c r="C92" s="4">
        <v>100</v>
      </c>
      <c r="D92" s="13">
        <v>2999953.68</v>
      </c>
      <c r="E92" s="14"/>
      <c r="F92" s="13">
        <f aca="true" t="shared" si="7" ref="F92:F100">D92+E92</f>
        <v>2999953.68</v>
      </c>
    </row>
    <row r="93" spans="1:6" ht="78.75" customHeight="1">
      <c r="A93" s="50" t="s">
        <v>110</v>
      </c>
      <c r="B93" s="4" t="s">
        <v>392</v>
      </c>
      <c r="C93" s="4">
        <v>200</v>
      </c>
      <c r="D93" s="13">
        <v>963350</v>
      </c>
      <c r="E93" s="14"/>
      <c r="F93" s="13">
        <f t="shared" si="7"/>
        <v>963350</v>
      </c>
    </row>
    <row r="94" spans="1:6" ht="78.75" customHeight="1">
      <c r="A94" s="50" t="s">
        <v>242</v>
      </c>
      <c r="B94" s="4" t="s">
        <v>392</v>
      </c>
      <c r="C94" s="4">
        <v>800</v>
      </c>
      <c r="D94" s="13">
        <v>10600</v>
      </c>
      <c r="E94" s="14"/>
      <c r="F94" s="13">
        <f>D94+E94</f>
        <v>10600</v>
      </c>
    </row>
    <row r="95" spans="1:6" ht="126.75" customHeight="1">
      <c r="A95" s="82" t="s">
        <v>414</v>
      </c>
      <c r="B95" s="60" t="s">
        <v>185</v>
      </c>
      <c r="C95" s="4">
        <v>100</v>
      </c>
      <c r="D95" s="13">
        <v>47446.32</v>
      </c>
      <c r="E95" s="13"/>
      <c r="F95" s="13">
        <f t="shared" si="7"/>
        <v>47446.32</v>
      </c>
    </row>
    <row r="96" spans="1:6" ht="97.5" customHeight="1">
      <c r="A96" s="59" t="s">
        <v>517</v>
      </c>
      <c r="B96" s="60" t="s">
        <v>292</v>
      </c>
      <c r="C96" s="4">
        <v>100</v>
      </c>
      <c r="D96" s="13">
        <f>1626705-57760.74</f>
        <v>1568944.26</v>
      </c>
      <c r="E96" s="13"/>
      <c r="F96" s="13">
        <f t="shared" si="7"/>
        <v>1568944.26</v>
      </c>
    </row>
    <row r="97" spans="1:6" ht="78.75" customHeight="1">
      <c r="A97" s="59" t="s">
        <v>415</v>
      </c>
      <c r="B97" s="60" t="s">
        <v>292</v>
      </c>
      <c r="C97" s="4">
        <v>200</v>
      </c>
      <c r="D97" s="13">
        <v>770505.65</v>
      </c>
      <c r="E97" s="13"/>
      <c r="F97" s="13">
        <f t="shared" si="7"/>
        <v>770505.65</v>
      </c>
    </row>
    <row r="98" spans="1:6" ht="95.25" customHeight="1">
      <c r="A98" s="59" t="s">
        <v>19</v>
      </c>
      <c r="B98" s="60" t="s">
        <v>131</v>
      </c>
      <c r="C98" s="4">
        <v>100</v>
      </c>
      <c r="D98" s="13">
        <v>57760.74</v>
      </c>
      <c r="E98" s="13"/>
      <c r="F98" s="13">
        <f t="shared" si="7"/>
        <v>57760.74</v>
      </c>
    </row>
    <row r="99" spans="1:6" ht="96" customHeight="1">
      <c r="A99" s="50" t="s">
        <v>99</v>
      </c>
      <c r="B99" s="4" t="s">
        <v>346</v>
      </c>
      <c r="C99" s="4">
        <v>100</v>
      </c>
      <c r="D99" s="13">
        <v>2200018.98</v>
      </c>
      <c r="E99" s="13"/>
      <c r="F99" s="13">
        <f t="shared" si="7"/>
        <v>2200018.98</v>
      </c>
    </row>
    <row r="100" spans="1:6" ht="33" customHeight="1">
      <c r="A100" s="50" t="s">
        <v>215</v>
      </c>
      <c r="B100" s="4" t="s">
        <v>191</v>
      </c>
      <c r="C100" s="4">
        <v>200</v>
      </c>
      <c r="D100" s="13">
        <v>50000</v>
      </c>
      <c r="E100" s="13"/>
      <c r="F100" s="13">
        <f t="shared" si="7"/>
        <v>50000</v>
      </c>
    </row>
    <row r="101" spans="1:6" ht="51.75" customHeight="1">
      <c r="A101" s="46" t="s">
        <v>401</v>
      </c>
      <c r="B101" s="32" t="s">
        <v>402</v>
      </c>
      <c r="C101" s="32"/>
      <c r="D101" s="35">
        <f>SUM(D102:D106)</f>
        <v>2919667.29</v>
      </c>
      <c r="E101" s="35">
        <f>SUM(E102:E106)</f>
        <v>-92174.82</v>
      </c>
      <c r="F101" s="35">
        <f>SUM(F102:F106)</f>
        <v>2827492.4699999997</v>
      </c>
    </row>
    <row r="102" spans="1:6" ht="63.75" customHeight="1">
      <c r="A102" s="50" t="s">
        <v>210</v>
      </c>
      <c r="B102" s="4" t="s">
        <v>445</v>
      </c>
      <c r="C102" s="4">
        <v>100</v>
      </c>
      <c r="D102" s="13">
        <f>1491148-30213.19</f>
        <v>1460934.81</v>
      </c>
      <c r="E102" s="13"/>
      <c r="F102" s="13">
        <f>D102+E102</f>
        <v>1460934.81</v>
      </c>
    </row>
    <row r="103" spans="1:6" ht="31.5" customHeight="1">
      <c r="A103" s="50" t="s">
        <v>211</v>
      </c>
      <c r="B103" s="4" t="s">
        <v>445</v>
      </c>
      <c r="C103" s="4">
        <v>200</v>
      </c>
      <c r="D103" s="13">
        <v>875783.77</v>
      </c>
      <c r="E103" s="13">
        <f>-87174.82-5000</f>
        <v>-92174.82</v>
      </c>
      <c r="F103" s="13">
        <f>D103+E103</f>
        <v>783608.95</v>
      </c>
    </row>
    <row r="104" spans="1:6" ht="30.75" customHeight="1">
      <c r="A104" s="50" t="s">
        <v>212</v>
      </c>
      <c r="B104" s="4" t="s">
        <v>445</v>
      </c>
      <c r="C104" s="4">
        <v>800</v>
      </c>
      <c r="D104" s="13">
        <v>35084</v>
      </c>
      <c r="E104" s="13"/>
      <c r="F104" s="13">
        <f>D104+E104</f>
        <v>35084</v>
      </c>
    </row>
    <row r="105" spans="1:6" ht="78.75" customHeight="1">
      <c r="A105" s="50" t="s">
        <v>213</v>
      </c>
      <c r="B105" s="60" t="s">
        <v>4</v>
      </c>
      <c r="C105" s="4">
        <v>100</v>
      </c>
      <c r="D105" s="13">
        <v>30213.19</v>
      </c>
      <c r="E105" s="13"/>
      <c r="F105" s="13">
        <f>D105+E105</f>
        <v>30213.19</v>
      </c>
    </row>
    <row r="106" spans="1:6" ht="94.5" customHeight="1">
      <c r="A106" s="50" t="s">
        <v>99</v>
      </c>
      <c r="B106" s="4" t="s">
        <v>347</v>
      </c>
      <c r="C106" s="4">
        <v>100</v>
      </c>
      <c r="D106" s="13">
        <v>517651.52</v>
      </c>
      <c r="E106" s="13"/>
      <c r="F106" s="13">
        <f>D106+E106</f>
        <v>517651.52</v>
      </c>
    </row>
    <row r="107" spans="1:6" ht="50.25" customHeight="1">
      <c r="A107" s="46" t="s">
        <v>459</v>
      </c>
      <c r="B107" s="32" t="s">
        <v>460</v>
      </c>
      <c r="C107" s="32"/>
      <c r="D107" s="83">
        <f>SUM(D108:D109)</f>
        <v>5594246</v>
      </c>
      <c r="E107" s="83">
        <f>SUM(E108:E109)</f>
        <v>-838592</v>
      </c>
      <c r="F107" s="83">
        <f>SUM(F108:F109)</f>
        <v>4755654</v>
      </c>
    </row>
    <row r="108" spans="1:6" ht="61.5" customHeight="1">
      <c r="A108" s="50" t="s">
        <v>143</v>
      </c>
      <c r="B108" s="5" t="s">
        <v>144</v>
      </c>
      <c r="C108" s="4">
        <v>200</v>
      </c>
      <c r="D108" s="13">
        <v>89654</v>
      </c>
      <c r="E108" s="13"/>
      <c r="F108" s="14">
        <f>D108+E108</f>
        <v>89654</v>
      </c>
    </row>
    <row r="109" spans="1:6" s="21" customFormat="1" ht="48.75" customHeight="1">
      <c r="A109" s="53" t="s">
        <v>454</v>
      </c>
      <c r="B109" s="5" t="s">
        <v>455</v>
      </c>
      <c r="C109" s="5">
        <v>200</v>
      </c>
      <c r="D109" s="14">
        <v>5504592</v>
      </c>
      <c r="E109" s="14">
        <f>-837893-699</f>
        <v>-838592</v>
      </c>
      <c r="F109" s="14">
        <f>D109+E109</f>
        <v>4666000</v>
      </c>
    </row>
    <row r="110" spans="1:7" ht="22.5" customHeight="1">
      <c r="A110" s="46" t="s">
        <v>486</v>
      </c>
      <c r="B110" s="32" t="s">
        <v>248</v>
      </c>
      <c r="C110" s="32"/>
      <c r="D110" s="83">
        <f>SUM(D111:D113)</f>
        <v>506200</v>
      </c>
      <c r="E110" s="83">
        <f>SUM(E111:E113)</f>
        <v>0</v>
      </c>
      <c r="F110" s="83">
        <f>SUM(F111:F113)</f>
        <v>506200</v>
      </c>
      <c r="G110" s="21"/>
    </row>
    <row r="111" spans="1:6" s="21" customFormat="1" ht="66.75" customHeight="1">
      <c r="A111" s="50" t="s">
        <v>488</v>
      </c>
      <c r="B111" s="4" t="s">
        <v>250</v>
      </c>
      <c r="C111" s="4">
        <v>200</v>
      </c>
      <c r="D111" s="14">
        <v>406200</v>
      </c>
      <c r="E111" s="14"/>
      <c r="F111" s="14">
        <f>D111+E111</f>
        <v>406200</v>
      </c>
    </row>
    <row r="112" spans="1:6" s="21" customFormat="1" ht="82.5" customHeight="1">
      <c r="A112" s="50" t="s">
        <v>490</v>
      </c>
      <c r="B112" s="5" t="s">
        <v>489</v>
      </c>
      <c r="C112" s="5">
        <v>200</v>
      </c>
      <c r="D112" s="14">
        <v>50000</v>
      </c>
      <c r="E112" s="14"/>
      <c r="F112" s="14">
        <f>D112+E112</f>
        <v>50000</v>
      </c>
    </row>
    <row r="113" spans="1:6" s="21" customFormat="1" ht="33.75" customHeight="1">
      <c r="A113" s="50" t="s">
        <v>215</v>
      </c>
      <c r="B113" s="4" t="s">
        <v>249</v>
      </c>
      <c r="C113" s="4">
        <v>200</v>
      </c>
      <c r="D113" s="14">
        <v>50000</v>
      </c>
      <c r="E113" s="14"/>
      <c r="F113" s="14">
        <f>D113+E113</f>
        <v>50000</v>
      </c>
    </row>
    <row r="114" spans="1:7" ht="22.5" customHeight="1">
      <c r="A114" s="46" t="s">
        <v>207</v>
      </c>
      <c r="B114" s="32" t="s">
        <v>206</v>
      </c>
      <c r="C114" s="32"/>
      <c r="D114" s="83">
        <f>D115</f>
        <v>4421957</v>
      </c>
      <c r="E114" s="83">
        <f>E115</f>
        <v>0</v>
      </c>
      <c r="F114" s="83">
        <f>F115</f>
        <v>4421957</v>
      </c>
      <c r="G114" s="21"/>
    </row>
    <row r="115" spans="1:6" s="21" customFormat="1" ht="48.75" customHeight="1">
      <c r="A115" s="53" t="s">
        <v>240</v>
      </c>
      <c r="B115" s="5" t="s">
        <v>241</v>
      </c>
      <c r="C115" s="5">
        <v>600</v>
      </c>
      <c r="D115" s="14">
        <v>4421957</v>
      </c>
      <c r="E115" s="14"/>
      <c r="F115" s="14">
        <f>D115+E115</f>
        <v>4421957</v>
      </c>
    </row>
    <row r="116" spans="1:6" s="19" customFormat="1" ht="55.5" customHeight="1">
      <c r="A116" s="17" t="s">
        <v>214</v>
      </c>
      <c r="B116" s="18" t="s">
        <v>446</v>
      </c>
      <c r="C116" s="18"/>
      <c r="D116" s="20">
        <f>D117+D127+D138+D142+D145+D166</f>
        <v>40637004.45</v>
      </c>
      <c r="E116" s="20">
        <f>E117+E127+E138+E142+E145+E166</f>
        <v>-709849.8600000001</v>
      </c>
      <c r="F116" s="20">
        <f>F117+F127+F138+F142+F145+F166</f>
        <v>39927154.59</v>
      </c>
    </row>
    <row r="117" spans="1:6" s="19" customFormat="1" ht="32.25" customHeight="1">
      <c r="A117" s="49" t="s">
        <v>403</v>
      </c>
      <c r="B117" s="36" t="s">
        <v>404</v>
      </c>
      <c r="C117" s="36"/>
      <c r="D117" s="37">
        <f>SUM(D118:D126)</f>
        <v>4530658.26</v>
      </c>
      <c r="E117" s="37">
        <f>SUM(E118:E126)</f>
        <v>-6706</v>
      </c>
      <c r="F117" s="37">
        <f>SUM(F118:F126)</f>
        <v>4523952.26</v>
      </c>
    </row>
    <row r="118" spans="1:6" ht="32.25" customHeight="1">
      <c r="A118" s="50" t="s">
        <v>169</v>
      </c>
      <c r="B118" s="4" t="s">
        <v>352</v>
      </c>
      <c r="C118" s="4">
        <v>800</v>
      </c>
      <c r="D118" s="13">
        <v>100000</v>
      </c>
      <c r="E118" s="13"/>
      <c r="F118" s="13">
        <f aca="true" t="shared" si="8" ref="F118:F126">D118+E118</f>
        <v>100000</v>
      </c>
    </row>
    <row r="119" spans="1:6" ht="62.25" customHeight="1">
      <c r="A119" s="47" t="s">
        <v>428</v>
      </c>
      <c r="B119" s="4" t="s">
        <v>294</v>
      </c>
      <c r="C119" s="4">
        <v>100</v>
      </c>
      <c r="D119" s="13">
        <v>3876196.11</v>
      </c>
      <c r="E119" s="13">
        <v>-800</v>
      </c>
      <c r="F119" s="13">
        <f t="shared" si="8"/>
        <v>3875396.11</v>
      </c>
    </row>
    <row r="120" spans="1:6" ht="47.25" customHeight="1">
      <c r="A120" s="47" t="s">
        <v>293</v>
      </c>
      <c r="B120" s="4" t="s">
        <v>294</v>
      </c>
      <c r="C120" s="4">
        <v>200</v>
      </c>
      <c r="D120" s="13">
        <v>141958.12</v>
      </c>
      <c r="E120" s="13">
        <v>-4350</v>
      </c>
      <c r="F120" s="13">
        <f t="shared" si="8"/>
        <v>137608.12</v>
      </c>
    </row>
    <row r="121" spans="1:6" ht="61.5" customHeight="1">
      <c r="A121" s="47" t="s">
        <v>176</v>
      </c>
      <c r="B121" s="4" t="s">
        <v>177</v>
      </c>
      <c r="C121" s="4">
        <v>200</v>
      </c>
      <c r="D121" s="13">
        <v>323149.65</v>
      </c>
      <c r="E121" s="13">
        <f>-752-152-2000+1348</f>
        <v>-1556</v>
      </c>
      <c r="F121" s="13">
        <f t="shared" si="8"/>
        <v>321593.65</v>
      </c>
    </row>
    <row r="122" spans="1:6" ht="81" customHeight="1">
      <c r="A122" s="52" t="s">
        <v>47</v>
      </c>
      <c r="B122" s="4" t="s">
        <v>179</v>
      </c>
      <c r="C122" s="4">
        <v>100</v>
      </c>
      <c r="D122" s="13">
        <v>13900</v>
      </c>
      <c r="E122" s="13"/>
      <c r="F122" s="13">
        <f t="shared" si="8"/>
        <v>13900</v>
      </c>
    </row>
    <row r="123" spans="1:6" ht="81" customHeight="1">
      <c r="A123" s="52" t="s">
        <v>257</v>
      </c>
      <c r="B123" s="4" t="s">
        <v>180</v>
      </c>
      <c r="C123" s="4">
        <v>100</v>
      </c>
      <c r="D123" s="13">
        <v>34000</v>
      </c>
      <c r="E123" s="13"/>
      <c r="F123" s="13">
        <f t="shared" si="8"/>
        <v>34000</v>
      </c>
    </row>
    <row r="124" spans="1:6" ht="78.75" customHeight="1">
      <c r="A124" s="52" t="s">
        <v>258</v>
      </c>
      <c r="B124" s="4" t="s">
        <v>181</v>
      </c>
      <c r="C124" s="4">
        <v>100</v>
      </c>
      <c r="D124" s="13">
        <v>12320</v>
      </c>
      <c r="E124" s="13"/>
      <c r="F124" s="13">
        <f t="shared" si="8"/>
        <v>12320</v>
      </c>
    </row>
    <row r="125" spans="1:6" ht="78.75" customHeight="1">
      <c r="A125" s="52" t="s">
        <v>259</v>
      </c>
      <c r="B125" s="4" t="s">
        <v>178</v>
      </c>
      <c r="C125" s="4">
        <v>100</v>
      </c>
      <c r="D125" s="13">
        <v>23908</v>
      </c>
      <c r="E125" s="13"/>
      <c r="F125" s="13">
        <f t="shared" si="8"/>
        <v>23908</v>
      </c>
    </row>
    <row r="126" spans="1:6" ht="32.25" customHeight="1">
      <c r="A126" s="52" t="s">
        <v>289</v>
      </c>
      <c r="B126" s="4" t="s">
        <v>165</v>
      </c>
      <c r="C126" s="4">
        <v>700</v>
      </c>
      <c r="D126" s="13">
        <v>5226.38</v>
      </c>
      <c r="E126" s="13"/>
      <c r="F126" s="13">
        <f t="shared" si="8"/>
        <v>5226.38</v>
      </c>
    </row>
    <row r="127" spans="1:6" ht="48.75" customHeight="1">
      <c r="A127" s="46" t="s">
        <v>263</v>
      </c>
      <c r="B127" s="32" t="s">
        <v>264</v>
      </c>
      <c r="C127" s="32"/>
      <c r="D127" s="35">
        <f>SUM(D128:D137)</f>
        <v>4046254.39</v>
      </c>
      <c r="E127" s="35">
        <f>SUM(E128:E137)</f>
        <v>-236234.58000000002</v>
      </c>
      <c r="F127" s="35">
        <f>SUM(F128:F137)</f>
        <v>3810019.81</v>
      </c>
    </row>
    <row r="128" spans="1:6" ht="62.25" customHeight="1">
      <c r="A128" s="47" t="s">
        <v>428</v>
      </c>
      <c r="B128" s="4" t="s">
        <v>160</v>
      </c>
      <c r="C128" s="4">
        <v>100</v>
      </c>
      <c r="D128" s="13">
        <v>2669577</v>
      </c>
      <c r="E128" s="13"/>
      <c r="F128" s="13">
        <f aca="true" t="shared" si="9" ref="F128:F137">D128+E128</f>
        <v>2669577</v>
      </c>
    </row>
    <row r="129" spans="1:6" ht="47.25" customHeight="1">
      <c r="A129" s="47" t="s">
        <v>293</v>
      </c>
      <c r="B129" s="4" t="s">
        <v>160</v>
      </c>
      <c r="C129" s="4">
        <v>200</v>
      </c>
      <c r="D129" s="13">
        <v>112099.61</v>
      </c>
      <c r="E129" s="13">
        <v>-8170</v>
      </c>
      <c r="F129" s="13">
        <f t="shared" si="9"/>
        <v>103929.61</v>
      </c>
    </row>
    <row r="130" spans="1:6" ht="33" customHeight="1">
      <c r="A130" s="47" t="s">
        <v>175</v>
      </c>
      <c r="B130" s="4" t="s">
        <v>160</v>
      </c>
      <c r="C130" s="4">
        <v>800</v>
      </c>
      <c r="D130" s="13">
        <v>0</v>
      </c>
      <c r="E130" s="13">
        <v>50000</v>
      </c>
      <c r="F130" s="13">
        <f t="shared" si="9"/>
        <v>50000</v>
      </c>
    </row>
    <row r="131" spans="1:6" ht="64.5" customHeight="1">
      <c r="A131" s="47" t="s">
        <v>59</v>
      </c>
      <c r="B131" s="4" t="s">
        <v>150</v>
      </c>
      <c r="C131" s="4">
        <v>200</v>
      </c>
      <c r="D131" s="13">
        <v>672896.58</v>
      </c>
      <c r="E131" s="13">
        <v>-306396.58</v>
      </c>
      <c r="F131" s="13">
        <f t="shared" si="9"/>
        <v>366499.99999999994</v>
      </c>
    </row>
    <row r="132" spans="1:6" ht="32.25" customHeight="1">
      <c r="A132" s="55" t="s">
        <v>79</v>
      </c>
      <c r="B132" s="5" t="s">
        <v>320</v>
      </c>
      <c r="C132" s="4">
        <v>200</v>
      </c>
      <c r="D132" s="13">
        <v>519477.08</v>
      </c>
      <c r="E132" s="13">
        <f>-294+28104</f>
        <v>27810</v>
      </c>
      <c r="F132" s="13">
        <f t="shared" si="9"/>
        <v>547287.0800000001</v>
      </c>
    </row>
    <row r="133" spans="1:6" ht="32.25" customHeight="1">
      <c r="A133" s="55" t="s">
        <v>87</v>
      </c>
      <c r="B133" s="5" t="s">
        <v>320</v>
      </c>
      <c r="C133" s="4">
        <v>800</v>
      </c>
      <c r="D133" s="13">
        <v>19085.12</v>
      </c>
      <c r="E133" s="13">
        <v>522</v>
      </c>
      <c r="F133" s="13">
        <f t="shared" si="9"/>
        <v>19607.12</v>
      </c>
    </row>
    <row r="134" spans="1:6" ht="96" customHeight="1">
      <c r="A134" s="52" t="s">
        <v>422</v>
      </c>
      <c r="B134" s="4" t="s">
        <v>438</v>
      </c>
      <c r="C134" s="4">
        <v>100</v>
      </c>
      <c r="D134" s="13">
        <v>13300</v>
      </c>
      <c r="E134" s="13"/>
      <c r="F134" s="13">
        <f t="shared" si="9"/>
        <v>13300</v>
      </c>
    </row>
    <row r="135" spans="1:6" ht="96" customHeight="1">
      <c r="A135" s="52" t="s">
        <v>381</v>
      </c>
      <c r="B135" s="4" t="s">
        <v>439</v>
      </c>
      <c r="C135" s="4">
        <v>100</v>
      </c>
      <c r="D135" s="13">
        <v>13300</v>
      </c>
      <c r="E135" s="13"/>
      <c r="F135" s="13">
        <f t="shared" si="9"/>
        <v>13300</v>
      </c>
    </row>
    <row r="136" spans="1:6" ht="97.5" customHeight="1">
      <c r="A136" s="52" t="s">
        <v>342</v>
      </c>
      <c r="B136" s="4" t="s">
        <v>440</v>
      </c>
      <c r="C136" s="4">
        <v>100</v>
      </c>
      <c r="D136" s="13">
        <v>13260</v>
      </c>
      <c r="E136" s="13"/>
      <c r="F136" s="13">
        <f t="shared" si="9"/>
        <v>13260</v>
      </c>
    </row>
    <row r="137" spans="1:6" ht="96" customHeight="1">
      <c r="A137" s="52" t="s">
        <v>437</v>
      </c>
      <c r="B137" s="4" t="s">
        <v>441</v>
      </c>
      <c r="C137" s="4">
        <v>100</v>
      </c>
      <c r="D137" s="13">
        <v>13259</v>
      </c>
      <c r="E137" s="13"/>
      <c r="F137" s="13">
        <f t="shared" si="9"/>
        <v>13259</v>
      </c>
    </row>
    <row r="138" spans="1:6" ht="31.5" customHeight="1">
      <c r="A138" s="51" t="s">
        <v>265</v>
      </c>
      <c r="B138" s="32" t="s">
        <v>266</v>
      </c>
      <c r="C138" s="32"/>
      <c r="D138" s="35">
        <f>SUM(D139:D141)</f>
        <v>2168724.49</v>
      </c>
      <c r="E138" s="35">
        <f>SUM(E139:E141)</f>
        <v>-53527</v>
      </c>
      <c r="F138" s="35">
        <f>SUM(F139:F141)</f>
        <v>2115197.49</v>
      </c>
    </row>
    <row r="139" spans="1:6" ht="62.25" customHeight="1">
      <c r="A139" s="47" t="s">
        <v>428</v>
      </c>
      <c r="B139" s="4" t="s">
        <v>442</v>
      </c>
      <c r="C139" s="4">
        <v>100</v>
      </c>
      <c r="D139" s="13">
        <v>1961900</v>
      </c>
      <c r="E139" s="13"/>
      <c r="F139" s="13">
        <f>D139+E139</f>
        <v>1961900</v>
      </c>
    </row>
    <row r="140" spans="1:6" ht="47.25" customHeight="1">
      <c r="A140" s="47" t="s">
        <v>293</v>
      </c>
      <c r="B140" s="4" t="s">
        <v>442</v>
      </c>
      <c r="C140" s="4">
        <v>200</v>
      </c>
      <c r="D140" s="13">
        <v>189524.49</v>
      </c>
      <c r="E140" s="13">
        <v>-53100</v>
      </c>
      <c r="F140" s="13">
        <f>D140+E140</f>
        <v>136424.49</v>
      </c>
    </row>
    <row r="141" spans="1:6" ht="31.5" customHeight="1">
      <c r="A141" s="47" t="s">
        <v>175</v>
      </c>
      <c r="B141" s="4" t="s">
        <v>442</v>
      </c>
      <c r="C141" s="4">
        <v>800</v>
      </c>
      <c r="D141" s="13">
        <v>17300</v>
      </c>
      <c r="E141" s="13">
        <v>-427</v>
      </c>
      <c r="F141" s="13">
        <f>D141+E141</f>
        <v>16873</v>
      </c>
    </row>
    <row r="142" spans="1:6" ht="78.75" customHeight="1">
      <c r="A142" s="51" t="s">
        <v>275</v>
      </c>
      <c r="B142" s="32" t="s">
        <v>276</v>
      </c>
      <c r="C142" s="32"/>
      <c r="D142" s="35">
        <f>SUM(D143:D144)</f>
        <v>4601386.28</v>
      </c>
      <c r="E142" s="35">
        <f>SUM(E143:E144)</f>
        <v>-10058</v>
      </c>
      <c r="F142" s="35">
        <f>SUM(F143:F144)</f>
        <v>4591328.28</v>
      </c>
    </row>
    <row r="143" spans="1:6" ht="66.75" customHeight="1">
      <c r="A143" s="47" t="s">
        <v>428</v>
      </c>
      <c r="B143" s="4" t="s">
        <v>443</v>
      </c>
      <c r="C143" s="4">
        <v>100</v>
      </c>
      <c r="D143" s="13">
        <v>4412630</v>
      </c>
      <c r="E143" s="13"/>
      <c r="F143" s="13">
        <f>D143+E143</f>
        <v>4412630</v>
      </c>
    </row>
    <row r="144" spans="1:6" ht="50.25" customHeight="1">
      <c r="A144" s="47" t="s">
        <v>293</v>
      </c>
      <c r="B144" s="4" t="s">
        <v>443</v>
      </c>
      <c r="C144" s="4">
        <v>200</v>
      </c>
      <c r="D144" s="13">
        <v>188756.28</v>
      </c>
      <c r="E144" s="13">
        <f>-10058</f>
        <v>-10058</v>
      </c>
      <c r="F144" s="13">
        <f>D144+E144</f>
        <v>178698.28</v>
      </c>
    </row>
    <row r="145" spans="1:6" ht="48.75" customHeight="1">
      <c r="A145" s="51" t="s">
        <v>277</v>
      </c>
      <c r="B145" s="32" t="s">
        <v>278</v>
      </c>
      <c r="C145" s="32"/>
      <c r="D145" s="35">
        <f>SUM(D146:D165)</f>
        <v>15456094.25</v>
      </c>
      <c r="E145" s="35">
        <f>SUM(E146:E165)</f>
        <v>-140761.1</v>
      </c>
      <c r="F145" s="35">
        <f>SUM(F146:F165)</f>
        <v>15315333.149999999</v>
      </c>
    </row>
    <row r="146" spans="1:6" s="21" customFormat="1" ht="64.5" customHeight="1">
      <c r="A146" s="53" t="s">
        <v>367</v>
      </c>
      <c r="B146" s="4" t="s">
        <v>366</v>
      </c>
      <c r="C146" s="4">
        <v>100</v>
      </c>
      <c r="D146" s="14">
        <v>1318890</v>
      </c>
      <c r="E146" s="14"/>
      <c r="F146" s="13">
        <f aca="true" t="shared" si="10" ref="F146:F165">D146+E146</f>
        <v>1318890</v>
      </c>
    </row>
    <row r="147" spans="1:6" ht="62.25" customHeight="1">
      <c r="A147" s="47" t="s">
        <v>428</v>
      </c>
      <c r="B147" s="4" t="s">
        <v>444</v>
      </c>
      <c r="C147" s="4">
        <v>100</v>
      </c>
      <c r="D147" s="13">
        <v>10577304</v>
      </c>
      <c r="E147" s="13"/>
      <c r="F147" s="13">
        <f t="shared" si="10"/>
        <v>10577304</v>
      </c>
    </row>
    <row r="148" spans="1:6" ht="47.25" customHeight="1">
      <c r="A148" s="47" t="s">
        <v>293</v>
      </c>
      <c r="B148" s="4" t="s">
        <v>444</v>
      </c>
      <c r="C148" s="4">
        <v>200</v>
      </c>
      <c r="D148" s="13">
        <v>1001435.25</v>
      </c>
      <c r="E148" s="13">
        <v>-83982</v>
      </c>
      <c r="F148" s="13">
        <f t="shared" si="10"/>
        <v>917453.25</v>
      </c>
    </row>
    <row r="149" spans="1:6" ht="30.75" customHeight="1">
      <c r="A149" s="47" t="s">
        <v>175</v>
      </c>
      <c r="B149" s="4" t="s">
        <v>444</v>
      </c>
      <c r="C149" s="4">
        <v>800</v>
      </c>
      <c r="D149" s="13">
        <v>28194</v>
      </c>
      <c r="E149" s="13">
        <v>-1764.13</v>
      </c>
      <c r="F149" s="13">
        <f t="shared" si="10"/>
        <v>26429.87</v>
      </c>
    </row>
    <row r="150" spans="1:6" ht="78.75" customHeight="1">
      <c r="A150" s="52" t="s">
        <v>84</v>
      </c>
      <c r="B150" s="4" t="s">
        <v>85</v>
      </c>
      <c r="C150" s="4">
        <v>200</v>
      </c>
      <c r="D150" s="13">
        <f>65000-5000</f>
        <v>60000</v>
      </c>
      <c r="E150" s="13">
        <f>-5000-5000-15000</f>
        <v>-25000</v>
      </c>
      <c r="F150" s="13">
        <f t="shared" si="10"/>
        <v>35000</v>
      </c>
    </row>
    <row r="151" spans="1:6" ht="47.25" customHeight="1">
      <c r="A151" s="52" t="s">
        <v>5</v>
      </c>
      <c r="B151" s="4" t="s">
        <v>6</v>
      </c>
      <c r="C151" s="4">
        <v>200</v>
      </c>
      <c r="D151" s="13">
        <v>300692</v>
      </c>
      <c r="E151" s="13">
        <f>20000-40524</f>
        <v>-20524</v>
      </c>
      <c r="F151" s="13">
        <f t="shared" si="10"/>
        <v>280168</v>
      </c>
    </row>
    <row r="152" spans="1:6" ht="32.25" customHeight="1">
      <c r="A152" s="47" t="s">
        <v>497</v>
      </c>
      <c r="B152" s="4" t="s">
        <v>498</v>
      </c>
      <c r="C152" s="4">
        <v>200</v>
      </c>
      <c r="D152" s="13">
        <v>315012</v>
      </c>
      <c r="E152" s="13">
        <v>50509.03</v>
      </c>
      <c r="F152" s="13">
        <f t="shared" si="10"/>
        <v>365521.03</v>
      </c>
    </row>
    <row r="153" spans="1:6" ht="32.25" customHeight="1">
      <c r="A153" s="47" t="s">
        <v>456</v>
      </c>
      <c r="B153" s="4" t="s">
        <v>498</v>
      </c>
      <c r="C153" s="4">
        <v>300</v>
      </c>
      <c r="D153" s="13">
        <v>10000</v>
      </c>
      <c r="E153" s="13"/>
      <c r="F153" s="13">
        <f t="shared" si="10"/>
        <v>10000</v>
      </c>
    </row>
    <row r="154" spans="1:6" s="21" customFormat="1" ht="45.75" customHeight="1">
      <c r="A154" s="55" t="s">
        <v>192</v>
      </c>
      <c r="B154" s="5" t="s">
        <v>498</v>
      </c>
      <c r="C154" s="5">
        <v>600</v>
      </c>
      <c r="D154" s="14">
        <v>6000</v>
      </c>
      <c r="E154" s="14"/>
      <c r="F154" s="13">
        <f t="shared" si="10"/>
        <v>6000</v>
      </c>
    </row>
    <row r="155" spans="1:6" s="21" customFormat="1" ht="30" customHeight="1">
      <c r="A155" s="47" t="s">
        <v>457</v>
      </c>
      <c r="B155" s="5" t="s">
        <v>498</v>
      </c>
      <c r="C155" s="5">
        <v>800</v>
      </c>
      <c r="D155" s="14">
        <v>23388</v>
      </c>
      <c r="E155" s="14"/>
      <c r="F155" s="13">
        <f t="shared" si="10"/>
        <v>23388</v>
      </c>
    </row>
    <row r="156" spans="1:6" ht="47.25" customHeight="1">
      <c r="A156" s="47" t="s">
        <v>168</v>
      </c>
      <c r="B156" s="4" t="s">
        <v>350</v>
      </c>
      <c r="C156" s="4">
        <v>300</v>
      </c>
      <c r="D156" s="13">
        <v>65000</v>
      </c>
      <c r="E156" s="13">
        <v>-60000</v>
      </c>
      <c r="F156" s="13">
        <f t="shared" si="10"/>
        <v>5000</v>
      </c>
    </row>
    <row r="157" spans="1:6" ht="31.5" customHeight="1">
      <c r="A157" s="47" t="s">
        <v>482</v>
      </c>
      <c r="B157" s="4" t="s">
        <v>351</v>
      </c>
      <c r="C157" s="4">
        <v>300</v>
      </c>
      <c r="D157" s="13">
        <v>1596195</v>
      </c>
      <c r="E157" s="13"/>
      <c r="F157" s="13">
        <f t="shared" si="10"/>
        <v>1596195</v>
      </c>
    </row>
    <row r="158" spans="1:6" ht="94.5" customHeight="1">
      <c r="A158" s="50" t="s">
        <v>504</v>
      </c>
      <c r="B158" s="4" t="s">
        <v>505</v>
      </c>
      <c r="C158" s="4">
        <v>100</v>
      </c>
      <c r="D158" s="13">
        <v>16900</v>
      </c>
      <c r="E158" s="13"/>
      <c r="F158" s="13">
        <f t="shared" si="10"/>
        <v>16900</v>
      </c>
    </row>
    <row r="159" spans="1:6" ht="93.75" customHeight="1">
      <c r="A159" s="50" t="s">
        <v>21</v>
      </c>
      <c r="B159" s="4" t="s">
        <v>22</v>
      </c>
      <c r="C159" s="4">
        <v>100</v>
      </c>
      <c r="D159" s="13">
        <v>41500</v>
      </c>
      <c r="E159" s="13"/>
      <c r="F159" s="13">
        <f t="shared" si="10"/>
        <v>41500</v>
      </c>
    </row>
    <row r="160" spans="1:6" ht="94.5" customHeight="1">
      <c r="A160" s="50" t="s">
        <v>27</v>
      </c>
      <c r="B160" s="4" t="s">
        <v>28</v>
      </c>
      <c r="C160" s="4">
        <v>100</v>
      </c>
      <c r="D160" s="13">
        <v>14930</v>
      </c>
      <c r="E160" s="13"/>
      <c r="F160" s="13">
        <f t="shared" si="10"/>
        <v>14930</v>
      </c>
    </row>
    <row r="161" spans="1:6" ht="95.25" customHeight="1">
      <c r="A161" s="50" t="s">
        <v>305</v>
      </c>
      <c r="B161" s="4" t="s">
        <v>306</v>
      </c>
      <c r="C161" s="4">
        <v>100</v>
      </c>
      <c r="D161" s="13">
        <v>29128</v>
      </c>
      <c r="E161" s="13"/>
      <c r="F161" s="13">
        <f t="shared" si="10"/>
        <v>29128</v>
      </c>
    </row>
    <row r="162" spans="1:6" ht="93" customHeight="1">
      <c r="A162" s="50" t="s">
        <v>419</v>
      </c>
      <c r="B162" s="4" t="s">
        <v>420</v>
      </c>
      <c r="C162" s="4">
        <v>100</v>
      </c>
      <c r="D162" s="13">
        <v>8400</v>
      </c>
      <c r="E162" s="13"/>
      <c r="F162" s="13">
        <f t="shared" si="10"/>
        <v>8400</v>
      </c>
    </row>
    <row r="163" spans="1:6" ht="94.5" customHeight="1">
      <c r="A163" s="50" t="s">
        <v>323</v>
      </c>
      <c r="B163" s="4" t="s">
        <v>324</v>
      </c>
      <c r="C163" s="4">
        <v>100</v>
      </c>
      <c r="D163" s="13">
        <v>21100</v>
      </c>
      <c r="E163" s="13"/>
      <c r="F163" s="13">
        <f t="shared" si="10"/>
        <v>21100</v>
      </c>
    </row>
    <row r="164" spans="1:6" ht="93" customHeight="1">
      <c r="A164" s="50" t="s">
        <v>318</v>
      </c>
      <c r="B164" s="4" t="s">
        <v>319</v>
      </c>
      <c r="C164" s="4">
        <v>100</v>
      </c>
      <c r="D164" s="13">
        <v>7410</v>
      </c>
      <c r="E164" s="13"/>
      <c r="F164" s="13">
        <f t="shared" si="10"/>
        <v>7410</v>
      </c>
    </row>
    <row r="165" spans="1:6" ht="93" customHeight="1">
      <c r="A165" s="50" t="s">
        <v>358</v>
      </c>
      <c r="B165" s="4" t="s">
        <v>359</v>
      </c>
      <c r="C165" s="4">
        <v>100</v>
      </c>
      <c r="D165" s="13">
        <v>14616</v>
      </c>
      <c r="E165" s="13"/>
      <c r="F165" s="13">
        <f t="shared" si="10"/>
        <v>14616</v>
      </c>
    </row>
    <row r="166" spans="1:6" ht="35.25" customHeight="1">
      <c r="A166" s="49" t="s">
        <v>251</v>
      </c>
      <c r="B166" s="32" t="s">
        <v>202</v>
      </c>
      <c r="C166" s="32"/>
      <c r="D166" s="35">
        <f>SUM(D167:D170)</f>
        <v>9833886.780000001</v>
      </c>
      <c r="E166" s="35">
        <f>SUM(E167:E170)</f>
        <v>-262563.18</v>
      </c>
      <c r="F166" s="35">
        <f>SUM(F167:F170)</f>
        <v>9571323.600000001</v>
      </c>
    </row>
    <row r="167" spans="1:6" ht="78.75" customHeight="1">
      <c r="A167" s="50" t="s">
        <v>431</v>
      </c>
      <c r="B167" s="4" t="s">
        <v>203</v>
      </c>
      <c r="C167" s="4">
        <v>100</v>
      </c>
      <c r="D167" s="13">
        <v>4235439</v>
      </c>
      <c r="E167" s="13"/>
      <c r="F167" s="13">
        <f>D167+E167</f>
        <v>4235439</v>
      </c>
    </row>
    <row r="168" spans="1:6" ht="47.25" customHeight="1">
      <c r="A168" s="50" t="s">
        <v>416</v>
      </c>
      <c r="B168" s="4" t="s">
        <v>203</v>
      </c>
      <c r="C168" s="4">
        <v>200</v>
      </c>
      <c r="D168" s="13">
        <v>5459437.78</v>
      </c>
      <c r="E168" s="13">
        <v>-250715.29</v>
      </c>
      <c r="F168" s="13">
        <f>D168+E168</f>
        <v>5208722.49</v>
      </c>
    </row>
    <row r="169" spans="1:6" ht="47.25" customHeight="1">
      <c r="A169" s="50" t="s">
        <v>458</v>
      </c>
      <c r="B169" s="4" t="s">
        <v>203</v>
      </c>
      <c r="C169" s="4">
        <v>300</v>
      </c>
      <c r="D169" s="13">
        <v>27000</v>
      </c>
      <c r="E169" s="13">
        <v>-518.69</v>
      </c>
      <c r="F169" s="13">
        <f>D169+E169</f>
        <v>26481.31</v>
      </c>
    </row>
    <row r="170" spans="1:6" ht="31.5">
      <c r="A170" s="50" t="s">
        <v>432</v>
      </c>
      <c r="B170" s="4" t="s">
        <v>203</v>
      </c>
      <c r="C170" s="4">
        <v>800</v>
      </c>
      <c r="D170" s="13">
        <v>112010</v>
      </c>
      <c r="E170" s="13">
        <v>-11329.2</v>
      </c>
      <c r="F170" s="13">
        <f>D170+E170</f>
        <v>100680.8</v>
      </c>
    </row>
    <row r="171" spans="1:6" s="19" customFormat="1" ht="75.75" customHeight="1">
      <c r="A171" s="17" t="s">
        <v>487</v>
      </c>
      <c r="B171" s="18" t="s">
        <v>345</v>
      </c>
      <c r="C171" s="18"/>
      <c r="D171" s="20">
        <f>D172+D179</f>
        <v>10656243.61</v>
      </c>
      <c r="E171" s="20">
        <f>E172+E179</f>
        <v>1911697.8800000001</v>
      </c>
      <c r="F171" s="20">
        <f>F172+F179</f>
        <v>12567941.49</v>
      </c>
    </row>
    <row r="172" spans="1:6" ht="62.25" customHeight="1">
      <c r="A172" s="54" t="s">
        <v>134</v>
      </c>
      <c r="B172" s="22" t="s">
        <v>57</v>
      </c>
      <c r="C172" s="6"/>
      <c r="D172" s="26">
        <f>SUM(D174:D178)</f>
        <v>2779452.37</v>
      </c>
      <c r="E172" s="26">
        <f>SUM(E174:E178)</f>
        <v>1860806.76</v>
      </c>
      <c r="F172" s="26">
        <f>SUM(F174:F178)</f>
        <v>4640259.13</v>
      </c>
    </row>
    <row r="173" spans="1:6" ht="33" customHeight="1">
      <c r="A173" s="46" t="s">
        <v>135</v>
      </c>
      <c r="B173" s="32" t="s">
        <v>136</v>
      </c>
      <c r="C173" s="32"/>
      <c r="D173" s="34">
        <f>SUM(D174:D178)</f>
        <v>2779452.37</v>
      </c>
      <c r="E173" s="34">
        <f>SUM(E174:E178)</f>
        <v>1860806.76</v>
      </c>
      <c r="F173" s="34">
        <f>SUM(F174:F178)</f>
        <v>4640259.13</v>
      </c>
    </row>
    <row r="174" spans="1:6" ht="45.75" customHeight="1">
      <c r="A174" s="50" t="s">
        <v>55</v>
      </c>
      <c r="B174" s="5" t="s">
        <v>56</v>
      </c>
      <c r="C174" s="5">
        <v>200</v>
      </c>
      <c r="D174" s="13">
        <v>90000</v>
      </c>
      <c r="E174" s="13">
        <v>13342.92</v>
      </c>
      <c r="F174" s="13">
        <f>D174+E174</f>
        <v>103342.92</v>
      </c>
    </row>
    <row r="175" spans="1:6" ht="46.5" customHeight="1">
      <c r="A175" s="62" t="s">
        <v>60</v>
      </c>
      <c r="B175" s="5" t="s">
        <v>61</v>
      </c>
      <c r="C175" s="5">
        <v>200</v>
      </c>
      <c r="D175" s="13">
        <v>636006.14</v>
      </c>
      <c r="E175" s="13">
        <f>-17794.57+25911</f>
        <v>8116.43</v>
      </c>
      <c r="F175" s="13">
        <f>D175+E175</f>
        <v>644122.5700000001</v>
      </c>
    </row>
    <row r="176" spans="1:6" ht="47.25">
      <c r="A176" s="62" t="s">
        <v>449</v>
      </c>
      <c r="B176" s="58" t="s">
        <v>450</v>
      </c>
      <c r="C176" s="5">
        <v>200</v>
      </c>
      <c r="D176" s="13">
        <v>1318867.87</v>
      </c>
      <c r="E176" s="13">
        <v>-42109.61</v>
      </c>
      <c r="F176" s="13">
        <f>D176+E176</f>
        <v>1276758.26</v>
      </c>
    </row>
    <row r="177" spans="1:6" ht="48.75" customHeight="1">
      <c r="A177" s="55" t="s">
        <v>217</v>
      </c>
      <c r="B177" s="58" t="s">
        <v>451</v>
      </c>
      <c r="C177" s="5">
        <v>200</v>
      </c>
      <c r="D177" s="13">
        <v>734578.36</v>
      </c>
      <c r="E177" s="13">
        <v>102000</v>
      </c>
      <c r="F177" s="13">
        <f>D177+E177</f>
        <v>836578.36</v>
      </c>
    </row>
    <row r="178" spans="1:6" ht="63.75" customHeight="1">
      <c r="A178" s="62" t="s">
        <v>303</v>
      </c>
      <c r="B178" s="5" t="s">
        <v>302</v>
      </c>
      <c r="C178" s="5">
        <v>400</v>
      </c>
      <c r="D178" s="13">
        <v>0</v>
      </c>
      <c r="E178" s="13">
        <f>1761662.45+17794.57</f>
        <v>1779457.02</v>
      </c>
      <c r="F178" s="13">
        <f>D178+E178</f>
        <v>1779457.02</v>
      </c>
    </row>
    <row r="179" spans="1:6" ht="60.75" customHeight="1">
      <c r="A179" s="63" t="s">
        <v>115</v>
      </c>
      <c r="B179" s="22" t="s">
        <v>116</v>
      </c>
      <c r="C179" s="22"/>
      <c r="D179" s="70">
        <f>D180</f>
        <v>7876791.24</v>
      </c>
      <c r="E179" s="70">
        <f>E180</f>
        <v>50891.12</v>
      </c>
      <c r="F179" s="70">
        <f>F180</f>
        <v>7927682.36</v>
      </c>
    </row>
    <row r="180" spans="1:6" ht="32.25" customHeight="1">
      <c r="A180" s="64" t="s">
        <v>117</v>
      </c>
      <c r="B180" s="32" t="s">
        <v>118</v>
      </c>
      <c r="C180" s="32"/>
      <c r="D180" s="35">
        <f>SUM(D181:D181)</f>
        <v>7876791.24</v>
      </c>
      <c r="E180" s="35">
        <f>SUM(E181:E181)</f>
        <v>50891.12</v>
      </c>
      <c r="F180" s="35">
        <f>SUM(F181:F181)</f>
        <v>7927682.36</v>
      </c>
    </row>
    <row r="181" spans="1:6" ht="48" customHeight="1">
      <c r="A181" s="55" t="s">
        <v>35</v>
      </c>
      <c r="B181" s="5" t="s">
        <v>193</v>
      </c>
      <c r="C181" s="4">
        <v>300</v>
      </c>
      <c r="D181" s="13">
        <v>7876791.24</v>
      </c>
      <c r="E181" s="13">
        <v>50891.12</v>
      </c>
      <c r="F181" s="13">
        <f>D181+E181</f>
        <v>7927682.36</v>
      </c>
    </row>
    <row r="182" spans="1:6" ht="72.75" customHeight="1">
      <c r="A182" s="27" t="s">
        <v>252</v>
      </c>
      <c r="B182" s="18" t="s">
        <v>58</v>
      </c>
      <c r="C182" s="18"/>
      <c r="D182" s="20">
        <f>D183</f>
        <v>9232920.05</v>
      </c>
      <c r="E182" s="20">
        <f>E183</f>
        <v>0</v>
      </c>
      <c r="F182" s="20">
        <f>F183</f>
        <v>9232920.05</v>
      </c>
    </row>
    <row r="183" spans="1:6" ht="48.75" customHeight="1">
      <c r="A183" s="46" t="s">
        <v>368</v>
      </c>
      <c r="B183" s="36" t="s">
        <v>421</v>
      </c>
      <c r="C183" s="36"/>
      <c r="D183" s="37">
        <f>SUM(D184:D184)</f>
        <v>9232920.05</v>
      </c>
      <c r="E183" s="37">
        <f>SUM(E184:E184)</f>
        <v>0</v>
      </c>
      <c r="F183" s="37">
        <f>SUM(F184:F184)</f>
        <v>9232920.05</v>
      </c>
    </row>
    <row r="184" spans="1:6" ht="64.5" customHeight="1">
      <c r="A184" s="47" t="s">
        <v>174</v>
      </c>
      <c r="B184" s="4" t="s">
        <v>295</v>
      </c>
      <c r="C184" s="4">
        <v>800</v>
      </c>
      <c r="D184" s="13">
        <f>8380000+852920.05</f>
        <v>9232920.05</v>
      </c>
      <c r="E184" s="13"/>
      <c r="F184" s="13">
        <f>D184+E184</f>
        <v>9232920.05</v>
      </c>
    </row>
    <row r="185" spans="1:6" ht="63" customHeight="1">
      <c r="A185" s="27" t="s">
        <v>501</v>
      </c>
      <c r="B185" s="18" t="s">
        <v>506</v>
      </c>
      <c r="C185" s="18"/>
      <c r="D185" s="20">
        <f>D186+D190+D193</f>
        <v>15355129.16</v>
      </c>
      <c r="E185" s="20">
        <f>E186+E190+E193</f>
        <v>0</v>
      </c>
      <c r="F185" s="20">
        <f>F186+F190+F193</f>
        <v>15355129.16</v>
      </c>
    </row>
    <row r="186" spans="1:6" ht="18" customHeight="1">
      <c r="A186" s="46" t="s">
        <v>369</v>
      </c>
      <c r="B186" s="36" t="s">
        <v>370</v>
      </c>
      <c r="C186" s="36"/>
      <c r="D186" s="37">
        <f>SUM(D187:D189)</f>
        <v>7428135.68</v>
      </c>
      <c r="E186" s="37">
        <f>SUM(E187:E189)</f>
        <v>0</v>
      </c>
      <c r="F186" s="37">
        <f>SUM(F187:F189)</f>
        <v>7428135.68</v>
      </c>
    </row>
    <row r="187" spans="1:6" s="21" customFormat="1" ht="30" customHeight="1">
      <c r="A187" s="55" t="s">
        <v>507</v>
      </c>
      <c r="B187" s="5" t="s">
        <v>508</v>
      </c>
      <c r="C187" s="5">
        <v>200</v>
      </c>
      <c r="D187" s="14">
        <v>212151.17</v>
      </c>
      <c r="E187" s="14"/>
      <c r="F187" s="13">
        <f>D187+E187</f>
        <v>212151.17</v>
      </c>
    </row>
    <row r="188" spans="1:6" ht="46.5" customHeight="1">
      <c r="A188" s="47" t="s">
        <v>509</v>
      </c>
      <c r="B188" s="4" t="s">
        <v>510</v>
      </c>
      <c r="C188" s="4">
        <v>200</v>
      </c>
      <c r="D188" s="13">
        <v>1234620.89</v>
      </c>
      <c r="E188" s="13"/>
      <c r="F188" s="13">
        <f>D188+E188</f>
        <v>1234620.89</v>
      </c>
    </row>
    <row r="189" spans="1:6" ht="62.25" customHeight="1">
      <c r="A189" s="47" t="s">
        <v>89</v>
      </c>
      <c r="B189" s="4" t="s">
        <v>247</v>
      </c>
      <c r="C189" s="4">
        <v>200</v>
      </c>
      <c r="D189" s="13">
        <v>5981363.62</v>
      </c>
      <c r="E189" s="13"/>
      <c r="F189" s="13">
        <f>D189+E189</f>
        <v>5981363.62</v>
      </c>
    </row>
    <row r="190" spans="1:6" ht="25.5" customHeight="1">
      <c r="A190" s="46" t="s">
        <v>371</v>
      </c>
      <c r="B190" s="36" t="s">
        <v>372</v>
      </c>
      <c r="C190" s="36"/>
      <c r="D190" s="38">
        <f>SUM(D191:D192)</f>
        <v>7826993.4799999995</v>
      </c>
      <c r="E190" s="38">
        <f>SUM(E191:E192)</f>
        <v>0</v>
      </c>
      <c r="F190" s="38">
        <f>SUM(F191:F192)</f>
        <v>7826993.4799999995</v>
      </c>
    </row>
    <row r="191" spans="1:6" ht="64.5" customHeight="1">
      <c r="A191" s="47" t="s">
        <v>89</v>
      </c>
      <c r="B191" s="4" t="s">
        <v>88</v>
      </c>
      <c r="C191" s="4">
        <v>200</v>
      </c>
      <c r="D191" s="13">
        <v>85677.96</v>
      </c>
      <c r="E191" s="13"/>
      <c r="F191" s="13">
        <f>D191+E191</f>
        <v>85677.96</v>
      </c>
    </row>
    <row r="192" spans="1:6" ht="159.75" customHeight="1">
      <c r="A192" s="47" t="s">
        <v>166</v>
      </c>
      <c r="B192" s="4" t="s">
        <v>167</v>
      </c>
      <c r="C192" s="4">
        <v>500</v>
      </c>
      <c r="D192" s="13">
        <v>7741315.52</v>
      </c>
      <c r="E192" s="13"/>
      <c r="F192" s="13">
        <f>D192+E192</f>
        <v>7741315.52</v>
      </c>
    </row>
    <row r="193" spans="1:6" ht="31.5" customHeight="1">
      <c r="A193" s="51" t="s">
        <v>373</v>
      </c>
      <c r="B193" s="36" t="s">
        <v>374</v>
      </c>
      <c r="C193" s="36"/>
      <c r="D193" s="38">
        <f>SUM(D194:D194)</f>
        <v>100000</v>
      </c>
      <c r="E193" s="38">
        <f>SUM(E194:E194)</f>
        <v>0</v>
      </c>
      <c r="F193" s="38">
        <f>SUM(F194:F194)</f>
        <v>100000</v>
      </c>
    </row>
    <row r="194" spans="1:6" ht="47.25" customHeight="1">
      <c r="A194" s="47" t="s">
        <v>314</v>
      </c>
      <c r="B194" s="4" t="s">
        <v>315</v>
      </c>
      <c r="C194" s="4">
        <v>200</v>
      </c>
      <c r="D194" s="13">
        <v>100000</v>
      </c>
      <c r="E194" s="13"/>
      <c r="F194" s="13">
        <f>D194+E194</f>
        <v>100000</v>
      </c>
    </row>
    <row r="195" spans="1:6" ht="56.25" customHeight="1">
      <c r="A195" s="27" t="s">
        <v>205</v>
      </c>
      <c r="B195" s="18" t="s">
        <v>316</v>
      </c>
      <c r="C195" s="18"/>
      <c r="D195" s="20">
        <f>D196+D204</f>
        <v>658350</v>
      </c>
      <c r="E195" s="20">
        <f>E196+E204</f>
        <v>-94000</v>
      </c>
      <c r="F195" s="20">
        <f>F196+F204</f>
        <v>564350</v>
      </c>
    </row>
    <row r="196" spans="1:6" s="19" customFormat="1" ht="27.75" customHeight="1">
      <c r="A196" s="23" t="s">
        <v>503</v>
      </c>
      <c r="B196" s="24" t="s">
        <v>68</v>
      </c>
      <c r="C196" s="24"/>
      <c r="D196" s="79">
        <f>SUM(D198:D203)</f>
        <v>595850</v>
      </c>
      <c r="E196" s="79">
        <f>SUM(E198:E203)</f>
        <v>-89000</v>
      </c>
      <c r="F196" s="79">
        <f>SUM(F198:F203)</f>
        <v>506850</v>
      </c>
    </row>
    <row r="197" spans="1:6" s="19" customFormat="1" ht="33" customHeight="1">
      <c r="A197" s="46" t="s">
        <v>132</v>
      </c>
      <c r="B197" s="36" t="s">
        <v>133</v>
      </c>
      <c r="C197" s="36"/>
      <c r="D197" s="37">
        <f>SUM(D198:D203)</f>
        <v>595850</v>
      </c>
      <c r="E197" s="37">
        <f>SUM(E198:E203)</f>
        <v>-89000</v>
      </c>
      <c r="F197" s="37">
        <f>SUM(F198:F203)</f>
        <v>506850</v>
      </c>
    </row>
    <row r="198" spans="1:6" ht="63.75" customHeight="1">
      <c r="A198" s="47" t="s">
        <v>216</v>
      </c>
      <c r="B198" s="4" t="s">
        <v>296</v>
      </c>
      <c r="C198" s="4">
        <v>600</v>
      </c>
      <c r="D198" s="13">
        <v>151000</v>
      </c>
      <c r="E198" s="13"/>
      <c r="F198" s="13">
        <f aca="true" t="shared" si="11" ref="F198:F203">D198+E198</f>
        <v>151000</v>
      </c>
    </row>
    <row r="199" spans="1:6" ht="47.25" customHeight="1">
      <c r="A199" s="47" t="s">
        <v>97</v>
      </c>
      <c r="B199" s="4" t="s">
        <v>297</v>
      </c>
      <c r="C199" s="4">
        <v>600</v>
      </c>
      <c r="D199" s="13">
        <v>105000</v>
      </c>
      <c r="E199" s="13"/>
      <c r="F199" s="13">
        <f t="shared" si="11"/>
        <v>105000</v>
      </c>
    </row>
    <row r="200" spans="1:6" ht="30.75" customHeight="1">
      <c r="A200" s="47" t="s">
        <v>287</v>
      </c>
      <c r="B200" s="4" t="s">
        <v>288</v>
      </c>
      <c r="C200" s="4">
        <v>200</v>
      </c>
      <c r="D200" s="13">
        <v>112000</v>
      </c>
      <c r="E200" s="13">
        <v>-86000</v>
      </c>
      <c r="F200" s="13">
        <f t="shared" si="11"/>
        <v>26000</v>
      </c>
    </row>
    <row r="201" spans="1:6" ht="32.25" customHeight="1">
      <c r="A201" s="47" t="s">
        <v>513</v>
      </c>
      <c r="B201" s="4" t="s">
        <v>512</v>
      </c>
      <c r="C201" s="4">
        <v>200</v>
      </c>
      <c r="D201" s="13">
        <v>3000</v>
      </c>
      <c r="E201" s="13">
        <v>-3000</v>
      </c>
      <c r="F201" s="13">
        <f t="shared" si="11"/>
        <v>0</v>
      </c>
    </row>
    <row r="202" spans="1:6" ht="45.75" customHeight="1">
      <c r="A202" s="47" t="s">
        <v>514</v>
      </c>
      <c r="B202" s="4" t="s">
        <v>515</v>
      </c>
      <c r="C202" s="4">
        <v>300</v>
      </c>
      <c r="D202" s="13">
        <v>10000</v>
      </c>
      <c r="E202" s="13"/>
      <c r="F202" s="13">
        <f t="shared" si="11"/>
        <v>10000</v>
      </c>
    </row>
    <row r="203" spans="1:6" ht="131.25" customHeight="1">
      <c r="A203" s="52" t="s">
        <v>145</v>
      </c>
      <c r="B203" s="4" t="s">
        <v>452</v>
      </c>
      <c r="C203" s="4">
        <v>300</v>
      </c>
      <c r="D203" s="13">
        <v>214850</v>
      </c>
      <c r="E203" s="13"/>
      <c r="F203" s="13">
        <f t="shared" si="11"/>
        <v>214850</v>
      </c>
    </row>
    <row r="204" spans="1:6" s="19" customFormat="1" ht="24" customHeight="1">
      <c r="A204" s="23" t="s">
        <v>502</v>
      </c>
      <c r="B204" s="24" t="s">
        <v>67</v>
      </c>
      <c r="C204" s="24"/>
      <c r="D204" s="25">
        <f>SUM(D206:D209)</f>
        <v>62500</v>
      </c>
      <c r="E204" s="25">
        <f>SUM(E206:E209)</f>
        <v>-5000</v>
      </c>
      <c r="F204" s="25">
        <f>SUM(F206:F209)</f>
        <v>57500</v>
      </c>
    </row>
    <row r="205" spans="1:6" s="19" customFormat="1" ht="32.25" customHeight="1">
      <c r="A205" s="46" t="s">
        <v>317</v>
      </c>
      <c r="B205" s="36" t="s">
        <v>329</v>
      </c>
      <c r="C205" s="36"/>
      <c r="D205" s="38">
        <f>SUM(D206:D209)</f>
        <v>62500</v>
      </c>
      <c r="E205" s="38">
        <f>SUM(E206:E209)</f>
        <v>-5000</v>
      </c>
      <c r="F205" s="38">
        <f>SUM(F206:F209)</f>
        <v>57500</v>
      </c>
    </row>
    <row r="206" spans="1:6" ht="45.75" customHeight="1">
      <c r="A206" s="47" t="s">
        <v>66</v>
      </c>
      <c r="B206" s="4" t="s">
        <v>309</v>
      </c>
      <c r="C206" s="4">
        <v>300</v>
      </c>
      <c r="D206" s="13">
        <v>45500</v>
      </c>
      <c r="E206" s="13"/>
      <c r="F206" s="13">
        <f>D206+E206</f>
        <v>45500</v>
      </c>
    </row>
    <row r="207" spans="1:6" ht="30" customHeight="1">
      <c r="A207" s="47" t="s">
        <v>44</v>
      </c>
      <c r="B207" s="4" t="s">
        <v>310</v>
      </c>
      <c r="C207" s="4">
        <v>200</v>
      </c>
      <c r="D207" s="13">
        <v>10500</v>
      </c>
      <c r="E207" s="13"/>
      <c r="F207" s="13">
        <f>D207+E207</f>
        <v>10500</v>
      </c>
    </row>
    <row r="208" spans="1:6" ht="30" customHeight="1">
      <c r="A208" s="47" t="s">
        <v>69</v>
      </c>
      <c r="B208" s="4" t="s">
        <v>310</v>
      </c>
      <c r="C208" s="4">
        <v>300</v>
      </c>
      <c r="D208" s="13">
        <v>1500</v>
      </c>
      <c r="E208" s="13"/>
      <c r="F208" s="13">
        <f>D208+E208</f>
        <v>1500</v>
      </c>
    </row>
    <row r="209" spans="1:6" ht="46.5" customHeight="1">
      <c r="A209" s="47" t="s">
        <v>308</v>
      </c>
      <c r="B209" s="4" t="s">
        <v>311</v>
      </c>
      <c r="C209" s="4">
        <v>200</v>
      </c>
      <c r="D209" s="13">
        <v>5000</v>
      </c>
      <c r="E209" s="13">
        <v>-5000</v>
      </c>
      <c r="F209" s="13">
        <f>D209+E209</f>
        <v>0</v>
      </c>
    </row>
    <row r="210" spans="1:6" s="19" customFormat="1" ht="56.25" customHeight="1">
      <c r="A210" s="27" t="s">
        <v>204</v>
      </c>
      <c r="B210" s="18" t="s">
        <v>313</v>
      </c>
      <c r="C210" s="18"/>
      <c r="D210" s="20">
        <f>D211+D218</f>
        <v>9438327.21</v>
      </c>
      <c r="E210" s="20">
        <f>E211+E218</f>
        <v>-397488.26</v>
      </c>
      <c r="F210" s="20">
        <f>F211+F218</f>
        <v>9040838.950000001</v>
      </c>
    </row>
    <row r="211" spans="1:6" s="19" customFormat="1" ht="32.25" customHeight="1">
      <c r="A211" s="46" t="s">
        <v>331</v>
      </c>
      <c r="B211" s="36" t="s">
        <v>333</v>
      </c>
      <c r="C211" s="36"/>
      <c r="D211" s="37">
        <f>SUM(D212:D217)</f>
        <v>7768179.91</v>
      </c>
      <c r="E211" s="37">
        <f>SUM(E212:E217)</f>
        <v>-297488.26</v>
      </c>
      <c r="F211" s="37">
        <f>SUM(F212:F217)</f>
        <v>7470691.65</v>
      </c>
    </row>
    <row r="212" spans="1:6" ht="61.5" customHeight="1">
      <c r="A212" s="47" t="s">
        <v>518</v>
      </c>
      <c r="B212" s="4" t="s">
        <v>170</v>
      </c>
      <c r="C212" s="4">
        <v>100</v>
      </c>
      <c r="D212" s="13">
        <v>4319165.63</v>
      </c>
      <c r="E212" s="13"/>
      <c r="F212" s="13">
        <f aca="true" t="shared" si="12" ref="F212:F217">D212+E212</f>
        <v>4319165.63</v>
      </c>
    </row>
    <row r="213" spans="1:6" ht="49.5" customHeight="1">
      <c r="A213" s="47" t="s">
        <v>20</v>
      </c>
      <c r="B213" s="4" t="s">
        <v>170</v>
      </c>
      <c r="C213" s="4">
        <v>200</v>
      </c>
      <c r="D213" s="13">
        <v>2109491.45</v>
      </c>
      <c r="E213" s="13">
        <f>-244382.26-58500+86500</f>
        <v>-216382.26</v>
      </c>
      <c r="F213" s="13">
        <f t="shared" si="12"/>
        <v>1893109.1900000002</v>
      </c>
    </row>
    <row r="214" spans="1:6" ht="45.75" customHeight="1">
      <c r="A214" s="47" t="s">
        <v>417</v>
      </c>
      <c r="B214" s="4" t="s">
        <v>170</v>
      </c>
      <c r="C214" s="4">
        <v>800</v>
      </c>
      <c r="D214" s="13">
        <v>363200</v>
      </c>
      <c r="E214" s="13">
        <f>-78806-400</f>
        <v>-79206</v>
      </c>
      <c r="F214" s="13">
        <f t="shared" si="12"/>
        <v>283994</v>
      </c>
    </row>
    <row r="215" spans="1:6" ht="48" customHeight="1">
      <c r="A215" s="47" t="s">
        <v>102</v>
      </c>
      <c r="B215" s="7" t="s">
        <v>46</v>
      </c>
      <c r="C215" s="4">
        <v>200</v>
      </c>
      <c r="D215" s="13">
        <f>23256+17630+4000</f>
        <v>44886</v>
      </c>
      <c r="E215" s="13">
        <v>-1900</v>
      </c>
      <c r="F215" s="13">
        <f t="shared" si="12"/>
        <v>42986</v>
      </c>
    </row>
    <row r="216" spans="1:6" ht="111" customHeight="1">
      <c r="A216" s="47" t="s">
        <v>101</v>
      </c>
      <c r="B216" s="7" t="s">
        <v>200</v>
      </c>
      <c r="C216" s="4">
        <v>100</v>
      </c>
      <c r="D216" s="13">
        <v>922122.46</v>
      </c>
      <c r="E216" s="13"/>
      <c r="F216" s="13">
        <f t="shared" si="12"/>
        <v>922122.46</v>
      </c>
    </row>
    <row r="217" spans="1:6" ht="94.5" customHeight="1">
      <c r="A217" s="47" t="s">
        <v>100</v>
      </c>
      <c r="B217" s="7" t="s">
        <v>171</v>
      </c>
      <c r="C217" s="4">
        <v>100</v>
      </c>
      <c r="D217" s="13">
        <v>9314.37</v>
      </c>
      <c r="E217" s="13"/>
      <c r="F217" s="13">
        <f t="shared" si="12"/>
        <v>9314.37</v>
      </c>
    </row>
    <row r="218" spans="1:6" ht="32.25" customHeight="1">
      <c r="A218" s="46" t="s">
        <v>332</v>
      </c>
      <c r="B218" s="40" t="s">
        <v>334</v>
      </c>
      <c r="C218" s="32"/>
      <c r="D218" s="35">
        <f>SUM(D219:D222)</f>
        <v>1670147.3</v>
      </c>
      <c r="E218" s="35">
        <f>SUM(E219:E222)</f>
        <v>-100000</v>
      </c>
      <c r="F218" s="35">
        <f>SUM(F219:F222)</f>
        <v>1570147.3</v>
      </c>
    </row>
    <row r="219" spans="1:6" ht="48.75" customHeight="1">
      <c r="A219" s="47" t="s">
        <v>111</v>
      </c>
      <c r="B219" s="4" t="s">
        <v>430</v>
      </c>
      <c r="C219" s="4">
        <v>200</v>
      </c>
      <c r="D219" s="13">
        <v>186417</v>
      </c>
      <c r="E219" s="13">
        <v>-100000</v>
      </c>
      <c r="F219" s="13">
        <f>D219+E219</f>
        <v>86417</v>
      </c>
    </row>
    <row r="220" spans="1:6" ht="93.75" customHeight="1">
      <c r="A220" s="65" t="s">
        <v>418</v>
      </c>
      <c r="B220" s="67" t="s">
        <v>328</v>
      </c>
      <c r="C220" s="4">
        <v>200</v>
      </c>
      <c r="D220" s="13">
        <v>797600</v>
      </c>
      <c r="E220" s="13"/>
      <c r="F220" s="13">
        <f>D220+E220</f>
        <v>797600</v>
      </c>
    </row>
    <row r="221" spans="1:6" ht="63" customHeight="1">
      <c r="A221" s="77" t="s">
        <v>112</v>
      </c>
      <c r="B221" s="78" t="s">
        <v>327</v>
      </c>
      <c r="C221" s="68">
        <v>200</v>
      </c>
      <c r="D221" s="13">
        <v>383100</v>
      </c>
      <c r="E221" s="13"/>
      <c r="F221" s="13">
        <f>D221+E221</f>
        <v>383100</v>
      </c>
    </row>
    <row r="222" spans="1:6" ht="48" customHeight="1">
      <c r="A222" s="75" t="s">
        <v>9</v>
      </c>
      <c r="B222" s="76" t="s">
        <v>8</v>
      </c>
      <c r="C222" s="4">
        <v>200</v>
      </c>
      <c r="D222" s="13">
        <v>303030.3</v>
      </c>
      <c r="E222" s="13"/>
      <c r="F222" s="13">
        <f>D222+E222</f>
        <v>303030.3</v>
      </c>
    </row>
    <row r="223" spans="1:6" s="28" customFormat="1" ht="54.75" customHeight="1">
      <c r="A223" s="27" t="s">
        <v>491</v>
      </c>
      <c r="B223" s="18" t="s">
        <v>121</v>
      </c>
      <c r="C223" s="18"/>
      <c r="D223" s="20">
        <f>D227+D232+D224+D235</f>
        <v>20003482</v>
      </c>
      <c r="E223" s="20">
        <f>E227+E232+E224+E235</f>
        <v>-6207368.37</v>
      </c>
      <c r="F223" s="20">
        <f>F227+F232+F224+F235</f>
        <v>13796113.629999999</v>
      </c>
    </row>
    <row r="224" spans="1:7" ht="33" customHeight="1">
      <c r="A224" s="23" t="s">
        <v>483</v>
      </c>
      <c r="B224" s="22" t="s">
        <v>243</v>
      </c>
      <c r="C224" s="22"/>
      <c r="D224" s="26">
        <f aca="true" t="shared" si="13" ref="D224:F225">D225</f>
        <v>3766986</v>
      </c>
      <c r="E224" s="26">
        <f t="shared" si="13"/>
        <v>-3766986</v>
      </c>
      <c r="F224" s="26">
        <f t="shared" si="13"/>
        <v>0</v>
      </c>
      <c r="G224" s="21"/>
    </row>
    <row r="225" spans="1:7" ht="33" customHeight="1">
      <c r="A225" s="46" t="s">
        <v>484</v>
      </c>
      <c r="B225" s="32" t="s">
        <v>244</v>
      </c>
      <c r="C225" s="32"/>
      <c r="D225" s="34">
        <f t="shared" si="13"/>
        <v>3766986</v>
      </c>
      <c r="E225" s="34">
        <f t="shared" si="13"/>
        <v>-3766986</v>
      </c>
      <c r="F225" s="34">
        <f t="shared" si="13"/>
        <v>0</v>
      </c>
      <c r="G225" s="21"/>
    </row>
    <row r="226" spans="1:7" ht="37.5" customHeight="1">
      <c r="A226" s="47" t="s">
        <v>246</v>
      </c>
      <c r="B226" s="4" t="s">
        <v>245</v>
      </c>
      <c r="C226" s="4">
        <v>400</v>
      </c>
      <c r="D226" s="13">
        <v>3766986</v>
      </c>
      <c r="E226" s="13">
        <v>-3766986</v>
      </c>
      <c r="F226" s="13">
        <f>D226+E226</f>
        <v>0</v>
      </c>
      <c r="G226" s="21"/>
    </row>
    <row r="227" spans="1:6" ht="33" customHeight="1">
      <c r="A227" s="23" t="s">
        <v>219</v>
      </c>
      <c r="B227" s="22" t="s">
        <v>125</v>
      </c>
      <c r="C227" s="22"/>
      <c r="D227" s="26">
        <f>D228+D230</f>
        <v>142000</v>
      </c>
      <c r="E227" s="26">
        <f>E228+E230</f>
        <v>-72120</v>
      </c>
      <c r="F227" s="26">
        <f>F228+F230</f>
        <v>69880</v>
      </c>
    </row>
    <row r="228" spans="1:6" ht="33" customHeight="1">
      <c r="A228" s="46" t="s">
        <v>337</v>
      </c>
      <c r="B228" s="32" t="s">
        <v>335</v>
      </c>
      <c r="C228" s="32"/>
      <c r="D228" s="34">
        <f>D229</f>
        <v>102000</v>
      </c>
      <c r="E228" s="34">
        <f>E229</f>
        <v>-84000</v>
      </c>
      <c r="F228" s="34">
        <f>F229</f>
        <v>18000</v>
      </c>
    </row>
    <row r="229" spans="1:6" ht="45.75" customHeight="1">
      <c r="A229" s="47" t="s">
        <v>149</v>
      </c>
      <c r="B229" s="4" t="s">
        <v>122</v>
      </c>
      <c r="C229" s="4">
        <v>600</v>
      </c>
      <c r="D229" s="13">
        <v>102000</v>
      </c>
      <c r="E229" s="13">
        <f>-11880-72120</f>
        <v>-84000</v>
      </c>
      <c r="F229" s="13">
        <f>D229+E229</f>
        <v>18000</v>
      </c>
    </row>
    <row r="230" spans="1:6" ht="32.25" customHeight="1">
      <c r="A230" s="46" t="s">
        <v>425</v>
      </c>
      <c r="B230" s="36" t="s">
        <v>424</v>
      </c>
      <c r="C230" s="36"/>
      <c r="D230" s="38">
        <f>SUM(D231:D231)</f>
        <v>40000</v>
      </c>
      <c r="E230" s="38">
        <f>SUM(E231:E231)</f>
        <v>11880</v>
      </c>
      <c r="F230" s="38">
        <f>SUM(F231:F231)</f>
        <v>51880</v>
      </c>
    </row>
    <row r="231" spans="1:6" ht="48.75" customHeight="1">
      <c r="A231" s="47" t="s">
        <v>201</v>
      </c>
      <c r="B231" s="4" t="s">
        <v>423</v>
      </c>
      <c r="C231" s="4">
        <v>600</v>
      </c>
      <c r="D231" s="13">
        <v>40000</v>
      </c>
      <c r="E231" s="13">
        <v>11880</v>
      </c>
      <c r="F231" s="13">
        <f>D231+E231</f>
        <v>51880</v>
      </c>
    </row>
    <row r="232" spans="1:6" ht="33.75" customHeight="1">
      <c r="A232" s="23" t="s">
        <v>220</v>
      </c>
      <c r="B232" s="22" t="s">
        <v>126</v>
      </c>
      <c r="C232" s="22"/>
      <c r="D232" s="26">
        <f>SUM(D234)</f>
        <v>119000</v>
      </c>
      <c r="E232" s="26">
        <f>SUM(E234)</f>
        <v>-119000</v>
      </c>
      <c r="F232" s="26">
        <f>SUM(F234)</f>
        <v>0</v>
      </c>
    </row>
    <row r="233" spans="1:6" ht="33.75" customHeight="1">
      <c r="A233" s="46" t="s">
        <v>338</v>
      </c>
      <c r="B233" s="32" t="s">
        <v>336</v>
      </c>
      <c r="C233" s="32"/>
      <c r="D233" s="34">
        <f>SUM(D234)</f>
        <v>119000</v>
      </c>
      <c r="E233" s="34">
        <f>SUM(E234)</f>
        <v>-119000</v>
      </c>
      <c r="F233" s="34">
        <f>SUM(F234)</f>
        <v>0</v>
      </c>
    </row>
    <row r="234" spans="1:6" ht="33.75" customHeight="1">
      <c r="A234" s="47" t="s">
        <v>123</v>
      </c>
      <c r="B234" s="4" t="s">
        <v>124</v>
      </c>
      <c r="C234" s="4">
        <v>800</v>
      </c>
      <c r="D234" s="13">
        <v>119000</v>
      </c>
      <c r="E234" s="13">
        <v>-119000</v>
      </c>
      <c r="F234" s="13">
        <f>D234+E234</f>
        <v>0</v>
      </c>
    </row>
    <row r="235" spans="1:6" ht="33.75" customHeight="1">
      <c r="A235" s="23" t="s">
        <v>298</v>
      </c>
      <c r="B235" s="22" t="s">
        <v>90</v>
      </c>
      <c r="C235" s="22"/>
      <c r="D235" s="26">
        <f>SUM(D237)</f>
        <v>15975496</v>
      </c>
      <c r="E235" s="26">
        <f>SUM(E237)</f>
        <v>-2249262.37</v>
      </c>
      <c r="F235" s="26">
        <f>SUM(F237)</f>
        <v>13726233.629999999</v>
      </c>
    </row>
    <row r="236" spans="1:6" ht="33.75" customHeight="1">
      <c r="A236" s="46" t="s">
        <v>299</v>
      </c>
      <c r="B236" s="32" t="s">
        <v>91</v>
      </c>
      <c r="C236" s="32"/>
      <c r="D236" s="34">
        <f>SUM(D237)</f>
        <v>15975496</v>
      </c>
      <c r="E236" s="34">
        <f>SUM(E237)</f>
        <v>-2249262.37</v>
      </c>
      <c r="F236" s="34">
        <f>SUM(F237)</f>
        <v>13726233.629999999</v>
      </c>
    </row>
    <row r="237" spans="1:6" ht="33.75" customHeight="1">
      <c r="A237" s="47" t="s">
        <v>246</v>
      </c>
      <c r="B237" s="4" t="s">
        <v>92</v>
      </c>
      <c r="C237" s="4">
        <v>400</v>
      </c>
      <c r="D237" s="13">
        <v>15975496</v>
      </c>
      <c r="E237" s="13">
        <f>3766986-1896020.42-4120227.95</f>
        <v>-2249262.37</v>
      </c>
      <c r="F237" s="13">
        <f>D237+E237</f>
        <v>13726233.629999999</v>
      </c>
    </row>
    <row r="238" spans="1:6" ht="37.5" customHeight="1">
      <c r="A238" s="27" t="s">
        <v>40</v>
      </c>
      <c r="B238" s="18" t="s">
        <v>127</v>
      </c>
      <c r="C238" s="18"/>
      <c r="D238" s="20">
        <f>D239+D243</f>
        <v>4504556</v>
      </c>
      <c r="E238" s="20">
        <f>E239+E243</f>
        <v>32443</v>
      </c>
      <c r="F238" s="20">
        <f>F239+F243</f>
        <v>4536999</v>
      </c>
    </row>
    <row r="239" spans="1:6" ht="30" customHeight="1">
      <c r="A239" s="23" t="s">
        <v>481</v>
      </c>
      <c r="B239" s="32" t="s">
        <v>155</v>
      </c>
      <c r="C239" s="22"/>
      <c r="D239" s="26">
        <f>SUM(D241:D242)</f>
        <v>22500</v>
      </c>
      <c r="E239" s="26">
        <f>SUM(E241:E242)</f>
        <v>-2500</v>
      </c>
      <c r="F239" s="26">
        <f>SUM(F241:F242)</f>
        <v>20000</v>
      </c>
    </row>
    <row r="240" spans="1:6" ht="31.5" customHeight="1">
      <c r="A240" s="46" t="s">
        <v>279</v>
      </c>
      <c r="B240" s="32" t="s">
        <v>280</v>
      </c>
      <c r="C240" s="32"/>
      <c r="D240" s="34">
        <f>SUM(D241:D242)</f>
        <v>22500</v>
      </c>
      <c r="E240" s="34">
        <f>SUM(E241:E242)</f>
        <v>-2500</v>
      </c>
      <c r="F240" s="34">
        <f>SUM(F241:F242)</f>
        <v>20000</v>
      </c>
    </row>
    <row r="241" spans="1:6" ht="48.75" customHeight="1">
      <c r="A241" s="47" t="s">
        <v>154</v>
      </c>
      <c r="B241" s="4" t="s">
        <v>156</v>
      </c>
      <c r="C241" s="4">
        <v>200</v>
      </c>
      <c r="D241" s="13">
        <v>2500</v>
      </c>
      <c r="E241" s="13">
        <v>-2500</v>
      </c>
      <c r="F241" s="13">
        <f>D241+E241</f>
        <v>0</v>
      </c>
    </row>
    <row r="242" spans="1:6" ht="47.25" customHeight="1">
      <c r="A242" s="47" t="s">
        <v>158</v>
      </c>
      <c r="B242" s="4" t="s">
        <v>157</v>
      </c>
      <c r="C242" s="4">
        <v>200</v>
      </c>
      <c r="D242" s="13">
        <v>20000</v>
      </c>
      <c r="E242" s="13"/>
      <c r="F242" s="13">
        <f>D242+E242</f>
        <v>20000</v>
      </c>
    </row>
    <row r="243" spans="1:6" ht="66" customHeight="1">
      <c r="A243" s="46" t="s">
        <v>480</v>
      </c>
      <c r="B243" s="32" t="s">
        <v>159</v>
      </c>
      <c r="C243" s="22"/>
      <c r="D243" s="35">
        <f>SUM(D245:D251)</f>
        <v>4482056</v>
      </c>
      <c r="E243" s="35">
        <f>SUM(E245:E251)</f>
        <v>34943</v>
      </c>
      <c r="F243" s="35">
        <f>SUM(F245:F251)</f>
        <v>4516999</v>
      </c>
    </row>
    <row r="244" spans="1:6" ht="51.75" customHeight="1">
      <c r="A244" s="46" t="s">
        <v>281</v>
      </c>
      <c r="B244" s="32" t="s">
        <v>282</v>
      </c>
      <c r="C244" s="32"/>
      <c r="D244" s="35">
        <f>SUM(D245:D251)</f>
        <v>4482056</v>
      </c>
      <c r="E244" s="35">
        <f>SUM(E245:E251)</f>
        <v>34943</v>
      </c>
      <c r="F244" s="35">
        <f>SUM(F245:F251)</f>
        <v>4516999</v>
      </c>
    </row>
    <row r="245" spans="1:6" ht="78" customHeight="1">
      <c r="A245" s="47" t="s">
        <v>119</v>
      </c>
      <c r="B245" s="41" t="s">
        <v>256</v>
      </c>
      <c r="C245" s="4">
        <v>100</v>
      </c>
      <c r="D245" s="13">
        <v>2370693</v>
      </c>
      <c r="E245" s="13"/>
      <c r="F245" s="13">
        <f aca="true" t="shared" si="14" ref="F245:F251">D245+E245</f>
        <v>2370693</v>
      </c>
    </row>
    <row r="246" spans="1:6" ht="47.25" customHeight="1">
      <c r="A246" s="47" t="s">
        <v>120</v>
      </c>
      <c r="B246" s="41" t="s">
        <v>256</v>
      </c>
      <c r="C246" s="4">
        <v>200</v>
      </c>
      <c r="D246" s="13">
        <v>432581</v>
      </c>
      <c r="E246" s="13"/>
      <c r="F246" s="13">
        <f t="shared" si="14"/>
        <v>432581</v>
      </c>
    </row>
    <row r="247" spans="1:6" ht="33" customHeight="1">
      <c r="A247" s="47" t="s">
        <v>255</v>
      </c>
      <c r="B247" s="41" t="s">
        <v>256</v>
      </c>
      <c r="C247" s="4">
        <v>800</v>
      </c>
      <c r="D247" s="13">
        <v>1680</v>
      </c>
      <c r="E247" s="13"/>
      <c r="F247" s="13">
        <f t="shared" si="14"/>
        <v>1680</v>
      </c>
    </row>
    <row r="248" spans="1:6" ht="79.5" customHeight="1">
      <c r="A248" s="55" t="s">
        <v>230</v>
      </c>
      <c r="B248" s="71" t="s">
        <v>231</v>
      </c>
      <c r="C248" s="5">
        <v>100</v>
      </c>
      <c r="D248" s="13">
        <v>609682</v>
      </c>
      <c r="E248" s="13"/>
      <c r="F248" s="13">
        <f t="shared" si="14"/>
        <v>609682</v>
      </c>
    </row>
    <row r="249" spans="1:6" ht="48.75" customHeight="1">
      <c r="A249" s="55" t="s">
        <v>232</v>
      </c>
      <c r="B249" s="71" t="s">
        <v>231</v>
      </c>
      <c r="C249" s="5">
        <v>200</v>
      </c>
      <c r="D249" s="13">
        <v>768420</v>
      </c>
      <c r="E249" s="13"/>
      <c r="F249" s="13">
        <f t="shared" si="14"/>
        <v>768420</v>
      </c>
    </row>
    <row r="250" spans="1:6" ht="93.75" customHeight="1">
      <c r="A250" s="50" t="s">
        <v>406</v>
      </c>
      <c r="B250" s="41" t="s">
        <v>365</v>
      </c>
      <c r="C250" s="4">
        <v>100</v>
      </c>
      <c r="D250" s="13">
        <v>248121</v>
      </c>
      <c r="E250" s="13">
        <v>34943</v>
      </c>
      <c r="F250" s="13">
        <f t="shared" si="14"/>
        <v>283064</v>
      </c>
    </row>
    <row r="251" spans="1:6" ht="63" customHeight="1">
      <c r="A251" s="50" t="s">
        <v>407</v>
      </c>
      <c r="B251" s="41" t="s">
        <v>365</v>
      </c>
      <c r="C251" s="4">
        <v>200</v>
      </c>
      <c r="D251" s="13">
        <v>50879</v>
      </c>
      <c r="E251" s="13"/>
      <c r="F251" s="13">
        <f t="shared" si="14"/>
        <v>50879</v>
      </c>
    </row>
    <row r="252" spans="1:6" s="19" customFormat="1" ht="40.5" customHeight="1">
      <c r="A252" s="27" t="s">
        <v>188</v>
      </c>
      <c r="B252" s="18" t="s">
        <v>408</v>
      </c>
      <c r="C252" s="18"/>
      <c r="D252" s="20">
        <f>D253</f>
        <v>1812300</v>
      </c>
      <c r="E252" s="20">
        <f>E253</f>
        <v>-110000</v>
      </c>
      <c r="F252" s="20">
        <f>F253</f>
        <v>1702300</v>
      </c>
    </row>
    <row r="253" spans="1:6" s="19" customFormat="1" ht="17.25" customHeight="1">
      <c r="A253" s="46" t="s">
        <v>283</v>
      </c>
      <c r="B253" s="36" t="s">
        <v>284</v>
      </c>
      <c r="C253" s="36"/>
      <c r="D253" s="37">
        <f>SUM(D254:D255)</f>
        <v>1812300</v>
      </c>
      <c r="E253" s="37">
        <f>SUM(E254:E255)</f>
        <v>-110000</v>
      </c>
      <c r="F253" s="37">
        <f>SUM(F254:F255)</f>
        <v>1702300</v>
      </c>
    </row>
    <row r="254" spans="1:6" ht="48.75" customHeight="1">
      <c r="A254" s="47" t="s">
        <v>349</v>
      </c>
      <c r="B254" s="4" t="s">
        <v>409</v>
      </c>
      <c r="C254" s="4">
        <v>600</v>
      </c>
      <c r="D254" s="13">
        <v>112000</v>
      </c>
      <c r="E254" s="13">
        <v>-110000</v>
      </c>
      <c r="F254" s="13">
        <f>D254+E254</f>
        <v>2000</v>
      </c>
    </row>
    <row r="255" spans="1:6" s="19" customFormat="1" ht="77.25" customHeight="1">
      <c r="A255" s="55" t="s">
        <v>23</v>
      </c>
      <c r="B255" s="5" t="s">
        <v>198</v>
      </c>
      <c r="C255" s="5">
        <v>600</v>
      </c>
      <c r="D255" s="13">
        <v>1700300</v>
      </c>
      <c r="E255" s="13"/>
      <c r="F255" s="13">
        <f>D255+E255</f>
        <v>1700300</v>
      </c>
    </row>
    <row r="256" spans="1:6" s="19" customFormat="1" ht="56.25" customHeight="1">
      <c r="A256" s="27" t="s">
        <v>485</v>
      </c>
      <c r="B256" s="18" t="s">
        <v>429</v>
      </c>
      <c r="C256" s="18"/>
      <c r="D256" s="20">
        <f>D257+D261+D259+D263</f>
        <v>1140786</v>
      </c>
      <c r="E256" s="20">
        <f>E257+E261+E259+E263</f>
        <v>-98256</v>
      </c>
      <c r="F256" s="20">
        <f>F257+F261+F259+F263</f>
        <v>1042530</v>
      </c>
    </row>
    <row r="257" spans="1:6" s="19" customFormat="1" ht="33" customHeight="1">
      <c r="A257" s="46" t="s">
        <v>390</v>
      </c>
      <c r="B257" s="36" t="s">
        <v>389</v>
      </c>
      <c r="C257" s="36"/>
      <c r="D257" s="37">
        <f>SUM(D258:D258)</f>
        <v>786238</v>
      </c>
      <c r="E257" s="37">
        <f>SUM(E258:E258)</f>
        <v>-98256</v>
      </c>
      <c r="F257" s="37">
        <f>SUM(F258:F258)</f>
        <v>687982</v>
      </c>
    </row>
    <row r="258" spans="1:6" ht="47.25" customHeight="1">
      <c r="A258" s="47" t="s">
        <v>164</v>
      </c>
      <c r="B258" s="4" t="s">
        <v>391</v>
      </c>
      <c r="C258" s="4">
        <v>200</v>
      </c>
      <c r="D258" s="13">
        <v>786238</v>
      </c>
      <c r="E258" s="13">
        <f>-12730-18525-26735+2805-3996-11056-8090-1861-9416-8452-200</f>
        <v>-98256</v>
      </c>
      <c r="F258" s="13">
        <f>D258+E258</f>
        <v>687982</v>
      </c>
    </row>
    <row r="259" spans="1:6" ht="31.5">
      <c r="A259" s="46" t="s">
        <v>152</v>
      </c>
      <c r="B259" s="36" t="s">
        <v>268</v>
      </c>
      <c r="C259" s="32"/>
      <c r="D259" s="35">
        <f>D260</f>
        <v>0</v>
      </c>
      <c r="E259" s="35">
        <f>E260</f>
        <v>0</v>
      </c>
      <c r="F259" s="35">
        <f>F260</f>
        <v>0</v>
      </c>
    </row>
    <row r="260" spans="1:6" ht="47.25" customHeight="1">
      <c r="A260" s="47" t="s">
        <v>34</v>
      </c>
      <c r="B260" s="4" t="s">
        <v>153</v>
      </c>
      <c r="C260" s="4">
        <v>200</v>
      </c>
      <c r="D260" s="13">
        <v>0</v>
      </c>
      <c r="E260" s="13"/>
      <c r="F260" s="13">
        <f>D260+E260</f>
        <v>0</v>
      </c>
    </row>
    <row r="261" spans="1:6" ht="30.75" customHeight="1">
      <c r="A261" s="46" t="s">
        <v>162</v>
      </c>
      <c r="B261" s="36" t="s">
        <v>163</v>
      </c>
      <c r="C261" s="6"/>
      <c r="D261" s="38">
        <f>SUM(D262:D262)</f>
        <v>352308</v>
      </c>
      <c r="E261" s="38">
        <f>SUM(E262:E262)</f>
        <v>0</v>
      </c>
      <c r="F261" s="38">
        <f>SUM(F262:F262)</f>
        <v>352308</v>
      </c>
    </row>
    <row r="262" spans="1:6" ht="33.75" customHeight="1">
      <c r="A262" s="47" t="s">
        <v>64</v>
      </c>
      <c r="B262" s="4" t="s">
        <v>65</v>
      </c>
      <c r="C262" s="4">
        <v>200</v>
      </c>
      <c r="D262" s="13">
        <v>352308</v>
      </c>
      <c r="E262" s="13"/>
      <c r="F262" s="13">
        <f>D262+E262</f>
        <v>352308</v>
      </c>
    </row>
    <row r="263" spans="1:6" ht="30.75" customHeight="1">
      <c r="A263" s="46" t="s">
        <v>461</v>
      </c>
      <c r="B263" s="36" t="s">
        <v>462</v>
      </c>
      <c r="C263" s="6"/>
      <c r="D263" s="38">
        <f>SUM(D264:D264)</f>
        <v>2240</v>
      </c>
      <c r="E263" s="38">
        <f>SUM(E264:E264)</f>
        <v>0</v>
      </c>
      <c r="F263" s="38">
        <f>SUM(F264:F264)</f>
        <v>2240</v>
      </c>
    </row>
    <row r="264" spans="1:6" ht="49.5" customHeight="1">
      <c r="A264" s="55" t="s">
        <v>463</v>
      </c>
      <c r="B264" s="4" t="s">
        <v>464</v>
      </c>
      <c r="C264" s="4">
        <v>200</v>
      </c>
      <c r="D264" s="85">
        <v>2240</v>
      </c>
      <c r="E264" s="13"/>
      <c r="F264" s="13">
        <f>D264+E264</f>
        <v>2240</v>
      </c>
    </row>
    <row r="265" spans="1:6" ht="57" customHeight="1">
      <c r="A265" s="27" t="s">
        <v>253</v>
      </c>
      <c r="B265" s="18" t="s">
        <v>354</v>
      </c>
      <c r="C265" s="18"/>
      <c r="D265" s="61">
        <f>SUM(D267:D267)</f>
        <v>14000</v>
      </c>
      <c r="E265" s="61">
        <f>SUM(E267:E267)</f>
        <v>0</v>
      </c>
      <c r="F265" s="61">
        <f>SUM(F267:F267)</f>
        <v>14000</v>
      </c>
    </row>
    <row r="266" spans="1:6" ht="33" customHeight="1">
      <c r="A266" s="46" t="s">
        <v>330</v>
      </c>
      <c r="B266" s="39" t="s">
        <v>355</v>
      </c>
      <c r="C266" s="36"/>
      <c r="D266" s="38">
        <f>SUM(D267:D267)</f>
        <v>14000</v>
      </c>
      <c r="E266" s="38">
        <f>SUM(E267:E267)</f>
        <v>0</v>
      </c>
      <c r="F266" s="38">
        <f>SUM(F267:F267)</f>
        <v>14000</v>
      </c>
    </row>
    <row r="267" spans="1:6" ht="48.75" customHeight="1">
      <c r="A267" s="47" t="s">
        <v>312</v>
      </c>
      <c r="B267" s="5" t="s">
        <v>356</v>
      </c>
      <c r="C267" s="4">
        <v>300</v>
      </c>
      <c r="D267" s="13">
        <v>14000</v>
      </c>
      <c r="E267" s="13"/>
      <c r="F267" s="13">
        <f>D267+E267</f>
        <v>14000</v>
      </c>
    </row>
    <row r="268" spans="1:6" ht="44.25" customHeight="1">
      <c r="A268" s="27" t="s">
        <v>465</v>
      </c>
      <c r="B268" s="3" t="s">
        <v>466</v>
      </c>
      <c r="C268" s="3"/>
      <c r="D268" s="86">
        <f aca="true" t="shared" si="15" ref="D268:F269">D269</f>
        <v>800000</v>
      </c>
      <c r="E268" s="87">
        <f t="shared" si="15"/>
        <v>-165851.95</v>
      </c>
      <c r="F268" s="87">
        <f t="shared" si="15"/>
        <v>634148.05</v>
      </c>
    </row>
    <row r="269" spans="1:6" ht="35.25" customHeight="1">
      <c r="A269" s="23" t="s">
        <v>467</v>
      </c>
      <c r="B269" s="6" t="s">
        <v>468</v>
      </c>
      <c r="C269" s="6"/>
      <c r="D269" s="88">
        <f t="shared" si="15"/>
        <v>800000</v>
      </c>
      <c r="E269" s="89">
        <f t="shared" si="15"/>
        <v>-165851.95</v>
      </c>
      <c r="F269" s="89">
        <f t="shared" si="15"/>
        <v>634148.05</v>
      </c>
    </row>
    <row r="270" spans="1:6" ht="32.25" customHeight="1">
      <c r="A270" s="46" t="s">
        <v>469</v>
      </c>
      <c r="B270" s="6" t="s">
        <v>470</v>
      </c>
      <c r="C270" s="6"/>
      <c r="D270" s="88">
        <f>SUM(D271:D272)</f>
        <v>800000</v>
      </c>
      <c r="E270" s="88">
        <f>SUM(E271:E272)</f>
        <v>-165851.95</v>
      </c>
      <c r="F270" s="89">
        <f>SUM(F271:F272)</f>
        <v>634148.05</v>
      </c>
    </row>
    <row r="271" spans="1:6" ht="64.5" customHeight="1">
      <c r="A271" s="47" t="s">
        <v>471</v>
      </c>
      <c r="B271" s="4" t="s">
        <v>472</v>
      </c>
      <c r="C271" s="4">
        <v>800</v>
      </c>
      <c r="D271" s="84">
        <v>750000</v>
      </c>
      <c r="E271" s="13">
        <f>-50509.03-102000-13342.92</f>
        <v>-165851.95</v>
      </c>
      <c r="F271" s="13">
        <f>D271+E271</f>
        <v>584148.05</v>
      </c>
    </row>
    <row r="272" spans="1:6" ht="46.5" customHeight="1">
      <c r="A272" s="47" t="s">
        <v>235</v>
      </c>
      <c r="B272" s="4" t="s">
        <v>236</v>
      </c>
      <c r="C272" s="4">
        <v>200</v>
      </c>
      <c r="D272" s="84">
        <v>50000</v>
      </c>
      <c r="E272" s="13"/>
      <c r="F272" s="13">
        <f>D272+E272</f>
        <v>50000</v>
      </c>
    </row>
    <row r="273" spans="1:6" ht="75" customHeight="1">
      <c r="A273" s="27" t="s">
        <v>233</v>
      </c>
      <c r="B273" s="18" t="s">
        <v>234</v>
      </c>
      <c r="C273" s="72"/>
      <c r="D273" s="61">
        <f aca="true" t="shared" si="16" ref="D273:F274">D274</f>
        <v>1073457</v>
      </c>
      <c r="E273" s="61">
        <f t="shared" si="16"/>
        <v>268043</v>
      </c>
      <c r="F273" s="61">
        <f t="shared" si="16"/>
        <v>1341500</v>
      </c>
    </row>
    <row r="274" spans="1:6" ht="51.75" customHeight="1">
      <c r="A274" s="46" t="s">
        <v>30</v>
      </c>
      <c r="B274" s="36" t="s">
        <v>31</v>
      </c>
      <c r="C274" s="73"/>
      <c r="D274" s="74">
        <f t="shared" si="16"/>
        <v>1073457</v>
      </c>
      <c r="E274" s="74">
        <f t="shared" si="16"/>
        <v>268043</v>
      </c>
      <c r="F274" s="74">
        <f t="shared" si="16"/>
        <v>1341500</v>
      </c>
    </row>
    <row r="275" spans="1:6" ht="63.75" customHeight="1">
      <c r="A275" s="55" t="s">
        <v>32</v>
      </c>
      <c r="B275" s="5" t="s">
        <v>33</v>
      </c>
      <c r="C275" s="4">
        <v>400</v>
      </c>
      <c r="D275" s="13">
        <v>1073457</v>
      </c>
      <c r="E275" s="13">
        <v>268043</v>
      </c>
      <c r="F275" s="13">
        <f>D275+E275</f>
        <v>1341500</v>
      </c>
    </row>
    <row r="276" spans="1:6" ht="56.25" customHeight="1">
      <c r="A276" s="27" t="s">
        <v>394</v>
      </c>
      <c r="B276" s="18" t="s">
        <v>375</v>
      </c>
      <c r="C276" s="18"/>
      <c r="D276" s="20">
        <f>D277+D282</f>
        <v>452083.44</v>
      </c>
      <c r="E276" s="20">
        <f>E277+E282</f>
        <v>0</v>
      </c>
      <c r="F276" s="20">
        <f>F277+F282</f>
        <v>452083.44</v>
      </c>
    </row>
    <row r="277" spans="1:6" ht="35.25" customHeight="1">
      <c r="A277" s="46" t="s">
        <v>285</v>
      </c>
      <c r="B277" s="36" t="s">
        <v>376</v>
      </c>
      <c r="C277" s="36"/>
      <c r="D277" s="37">
        <f>SUM(D278:D281)</f>
        <v>428083.44</v>
      </c>
      <c r="E277" s="37">
        <f>SUM(E278:E281)</f>
        <v>0</v>
      </c>
      <c r="F277" s="37">
        <f>SUM(F278:F281)</f>
        <v>428083.44</v>
      </c>
    </row>
    <row r="278" spans="1:6" ht="78" customHeight="1">
      <c r="A278" s="55" t="s">
        <v>495</v>
      </c>
      <c r="B278" s="5" t="s">
        <v>377</v>
      </c>
      <c r="C278" s="5">
        <v>100</v>
      </c>
      <c r="D278" s="13">
        <v>369280.29</v>
      </c>
      <c r="E278" s="13"/>
      <c r="F278" s="13">
        <f>D278+E278</f>
        <v>369280.29</v>
      </c>
    </row>
    <row r="279" spans="1:6" ht="46.5" customHeight="1">
      <c r="A279" s="55" t="s">
        <v>496</v>
      </c>
      <c r="B279" s="5" t="s">
        <v>377</v>
      </c>
      <c r="C279" s="5">
        <v>200</v>
      </c>
      <c r="D279" s="13">
        <v>21995.64</v>
      </c>
      <c r="E279" s="13"/>
      <c r="F279" s="13">
        <f>D279+E279</f>
        <v>21995.64</v>
      </c>
    </row>
    <row r="280" spans="1:6" ht="47.25" customHeight="1">
      <c r="A280" s="47" t="s">
        <v>39</v>
      </c>
      <c r="B280" s="4" t="s">
        <v>378</v>
      </c>
      <c r="C280" s="4">
        <v>200</v>
      </c>
      <c r="D280" s="13">
        <v>6288</v>
      </c>
      <c r="E280" s="13"/>
      <c r="F280" s="13">
        <f>D280+E280</f>
        <v>6288</v>
      </c>
    </row>
    <row r="281" spans="1:6" ht="46.5" customHeight="1">
      <c r="A281" s="47" t="s">
        <v>453</v>
      </c>
      <c r="B281" s="8" t="s">
        <v>379</v>
      </c>
      <c r="C281" s="8">
        <v>200</v>
      </c>
      <c r="D281" s="13">
        <v>30519.51</v>
      </c>
      <c r="E281" s="13"/>
      <c r="F281" s="13">
        <f>D281+E281</f>
        <v>30519.51</v>
      </c>
    </row>
    <row r="282" spans="1:6" ht="34.5" customHeight="1">
      <c r="A282" s="46" t="s">
        <v>286</v>
      </c>
      <c r="B282" s="32" t="s">
        <v>380</v>
      </c>
      <c r="C282" s="32"/>
      <c r="D282" s="34">
        <f>SUM(D283:D284)</f>
        <v>24000</v>
      </c>
      <c r="E282" s="34">
        <f>SUM(E283:E284)</f>
        <v>0</v>
      </c>
      <c r="F282" s="34">
        <f>SUM(F283:F284)</f>
        <v>24000</v>
      </c>
    </row>
    <row r="283" spans="1:6" ht="64.5" customHeight="1">
      <c r="A283" s="55" t="s">
        <v>95</v>
      </c>
      <c r="B283" s="4" t="s">
        <v>93</v>
      </c>
      <c r="C283" s="4">
        <v>200</v>
      </c>
      <c r="D283" s="13">
        <v>20000</v>
      </c>
      <c r="E283" s="13">
        <v>-4800</v>
      </c>
      <c r="F283" s="13">
        <f>D283+E283</f>
        <v>15200</v>
      </c>
    </row>
    <row r="284" spans="1:6" ht="50.25" customHeight="1">
      <c r="A284" s="55" t="s">
        <v>96</v>
      </c>
      <c r="B284" s="4" t="s">
        <v>94</v>
      </c>
      <c r="C284" s="4">
        <v>200</v>
      </c>
      <c r="D284" s="13">
        <v>4000</v>
      </c>
      <c r="E284" s="13">
        <v>4800</v>
      </c>
      <c r="F284" s="13">
        <f>D284+E284</f>
        <v>8800</v>
      </c>
    </row>
    <row r="285" spans="1:6" s="19" customFormat="1" ht="36" customHeight="1">
      <c r="A285" s="17" t="s">
        <v>343</v>
      </c>
      <c r="B285" s="18" t="s">
        <v>388</v>
      </c>
      <c r="C285" s="18"/>
      <c r="D285" s="20">
        <f>D286</f>
        <v>1019810.92</v>
      </c>
      <c r="E285" s="20">
        <f>E286</f>
        <v>6800</v>
      </c>
      <c r="F285" s="20">
        <f>F286</f>
        <v>1026610.92</v>
      </c>
    </row>
    <row r="286" spans="1:6" s="19" customFormat="1" ht="18.75" customHeight="1">
      <c r="A286" s="46" t="s">
        <v>172</v>
      </c>
      <c r="B286" s="36" t="s">
        <v>387</v>
      </c>
      <c r="C286" s="36"/>
      <c r="D286" s="37">
        <f>SUM(D287:D291)</f>
        <v>1019810.92</v>
      </c>
      <c r="E286" s="37">
        <f>SUM(E287:E291)</f>
        <v>6800</v>
      </c>
      <c r="F286" s="37">
        <f>SUM(F287:F291)</f>
        <v>1026610.92</v>
      </c>
    </row>
    <row r="287" spans="1:6" ht="78.75" customHeight="1">
      <c r="A287" s="47" t="s">
        <v>307</v>
      </c>
      <c r="B287" s="4" t="s">
        <v>386</v>
      </c>
      <c r="C287" s="4">
        <v>100</v>
      </c>
      <c r="D287" s="15">
        <v>849794</v>
      </c>
      <c r="E287" s="15"/>
      <c r="F287" s="13">
        <f>D287+E287</f>
        <v>849794</v>
      </c>
    </row>
    <row r="288" spans="1:6" ht="65.25" customHeight="1">
      <c r="A288" s="47" t="s">
        <v>78</v>
      </c>
      <c r="B288" s="4" t="s">
        <v>77</v>
      </c>
      <c r="C288" s="4">
        <v>200</v>
      </c>
      <c r="D288" s="15">
        <v>45108.72</v>
      </c>
      <c r="E288" s="15">
        <v>6800</v>
      </c>
      <c r="F288" s="13">
        <f>D288+E288</f>
        <v>51908.72</v>
      </c>
    </row>
    <row r="289" spans="1:6" ht="65.25" customHeight="1">
      <c r="A289" s="47" t="s">
        <v>238</v>
      </c>
      <c r="B289" s="4" t="s">
        <v>237</v>
      </c>
      <c r="C289" s="4">
        <v>200</v>
      </c>
      <c r="D289" s="15">
        <v>52885.8</v>
      </c>
      <c r="E289" s="15"/>
      <c r="F289" s="13">
        <f>D289+E289</f>
        <v>52885.8</v>
      </c>
    </row>
    <row r="290" spans="1:6" ht="45.75" customHeight="1">
      <c r="A290" s="47" t="s">
        <v>38</v>
      </c>
      <c r="B290" s="8" t="s">
        <v>37</v>
      </c>
      <c r="C290" s="8">
        <v>200</v>
      </c>
      <c r="D290" s="15">
        <v>63176.4</v>
      </c>
      <c r="E290" s="15"/>
      <c r="F290" s="13">
        <f>D290+E290</f>
        <v>63176.4</v>
      </c>
    </row>
    <row r="291" spans="1:6" ht="47.25">
      <c r="A291" s="47" t="s">
        <v>267</v>
      </c>
      <c r="B291" s="8" t="s">
        <v>341</v>
      </c>
      <c r="C291" s="8">
        <v>200</v>
      </c>
      <c r="D291" s="15">
        <v>8846</v>
      </c>
      <c r="E291" s="15"/>
      <c r="F291" s="13">
        <f>D291+E291</f>
        <v>8846</v>
      </c>
    </row>
    <row r="292" spans="1:6" s="29" customFormat="1" ht="14.25" customHeight="1">
      <c r="A292" s="56" t="s">
        <v>41</v>
      </c>
      <c r="B292" s="57"/>
      <c r="C292" s="57"/>
      <c r="D292" s="16">
        <f>D7+D71+D116+D171+D182+D185+D195+D210+D223+D238+D252+D256+D265+D273+D276+D285+D268</f>
        <v>292755358.06000006</v>
      </c>
      <c r="E292" s="16">
        <f>E7+E71+E116+E171+E182+E185+E195+E210+E223+E238+E252+E256+E265+E273+E276+E285+E268</f>
        <v>-11146460.349999998</v>
      </c>
      <c r="F292" s="16">
        <f>F7+F71+F116+F171+F182+F185+F195+F210+F223+F238+F252+F256+F265+F273+F276+F285+F268</f>
        <v>281608897.71000004</v>
      </c>
    </row>
    <row r="293" spans="4:6" ht="1.5" customHeight="1">
      <c r="D293" s="30">
        <v>72701113.06</v>
      </c>
      <c r="E293" s="30">
        <v>72701113.06</v>
      </c>
      <c r="F293" s="30">
        <v>72701113.06</v>
      </c>
    </row>
    <row r="294" spans="4:6" ht="15.75">
      <c r="D294" s="30">
        <v>66431600</v>
      </c>
      <c r="E294" s="30">
        <v>66431600</v>
      </c>
      <c r="F294" s="30">
        <v>66431600</v>
      </c>
    </row>
    <row r="295" spans="4:6" ht="15.75">
      <c r="D295" s="30">
        <v>9207040</v>
      </c>
      <c r="E295" s="30">
        <v>9207040</v>
      </c>
      <c r="F295" s="30">
        <v>9207040</v>
      </c>
    </row>
    <row r="296" spans="4:6" ht="15.75">
      <c r="D296" s="30">
        <v>10830508.26</v>
      </c>
      <c r="E296" s="30">
        <v>10830508.26</v>
      </c>
      <c r="F296" s="30">
        <v>10830508.26</v>
      </c>
    </row>
    <row r="297" spans="4:6" ht="15.75">
      <c r="D297" s="30">
        <v>58269253.89</v>
      </c>
      <c r="E297" s="30">
        <v>58269253.89</v>
      </c>
      <c r="F297" s="30">
        <v>58269253.89</v>
      </c>
    </row>
    <row r="298" spans="4:6" ht="15.75">
      <c r="D298" s="30">
        <v>24719600</v>
      </c>
      <c r="E298" s="30">
        <v>24719600</v>
      </c>
      <c r="F298" s="30">
        <v>24719600</v>
      </c>
    </row>
    <row r="299" spans="4:6" ht="15.75">
      <c r="D299" s="30">
        <v>-586222.67</v>
      </c>
      <c r="E299" s="30">
        <v>-586222.67</v>
      </c>
      <c r="F299" s="30">
        <v>-586222.67</v>
      </c>
    </row>
    <row r="300" spans="4:6" ht="15.75">
      <c r="D300" s="30">
        <f>SUM(D293:D299)</f>
        <v>241572892.54</v>
      </c>
      <c r="E300" s="30">
        <f>SUM(E293:E299)</f>
        <v>241572892.54</v>
      </c>
      <c r="F300" s="30">
        <f>SUM(F293:F299)</f>
        <v>241572892.54</v>
      </c>
    </row>
  </sheetData>
  <sheetProtection/>
  <autoFilter ref="A6:F300"/>
  <mergeCells count="2">
    <mergeCell ref="A3:F4"/>
    <mergeCell ref="B1:F1"/>
  </mergeCells>
  <printOptions/>
  <pageMargins left="0.5905511811023623" right="0.3937007874015748" top="0.3937007874015748" bottom="0.3937007874015748" header="0.5118110236220472" footer="0.5118110236220472"/>
  <pageSetup fitToHeight="13" fitToWidth="1" horizontalDpi="600" verticalDpi="600" orientation="portrait" paperSize="9" scale="59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2020-11-24T08:44:14Z</cp:lastPrinted>
  <dcterms:created xsi:type="dcterms:W3CDTF">2013-10-30T08:55:37Z</dcterms:created>
  <dcterms:modified xsi:type="dcterms:W3CDTF">2020-11-24T08:44:23Z</dcterms:modified>
  <cp:category/>
  <cp:version/>
  <cp:contentType/>
  <cp:contentStatus/>
</cp:coreProperties>
</file>